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فروردین 97" sheetId="6" r:id="rId1"/>
    <sheet name="بخشنامه وزارت کار" sheetId="2" r:id="rId2"/>
  </sheets>
  <calcPr calcId="145621"/>
</workbook>
</file>

<file path=xl/calcChain.xml><?xml version="1.0" encoding="utf-8"?>
<calcChain xmlns="http://schemas.openxmlformats.org/spreadsheetml/2006/main">
  <c r="O5" i="6" l="1"/>
  <c r="O18" i="6" s="1"/>
  <c r="O6" i="6"/>
  <c r="O7" i="6"/>
  <c r="O8" i="6"/>
  <c r="O9" i="6"/>
  <c r="O10" i="6"/>
  <c r="O11" i="6"/>
  <c r="O12" i="6"/>
  <c r="O13" i="6"/>
  <c r="O14" i="6"/>
  <c r="O15" i="6"/>
  <c r="O16" i="6"/>
  <c r="O17" i="6"/>
  <c r="U5" i="6" l="1"/>
  <c r="T5" i="6"/>
  <c r="T6" i="6" l="1"/>
  <c r="T7" i="6"/>
  <c r="T8" i="6"/>
  <c r="T9" i="6"/>
  <c r="T10" i="6"/>
  <c r="T11" i="6"/>
  <c r="T12" i="6"/>
  <c r="T13" i="6"/>
  <c r="T14" i="6"/>
  <c r="T15" i="6"/>
  <c r="T16" i="6"/>
  <c r="T17" i="6"/>
  <c r="T18" i="6" l="1"/>
  <c r="G4" i="2"/>
  <c r="F4" i="2" l="1"/>
  <c r="E7" i="2"/>
  <c r="G7" i="2" s="1"/>
  <c r="E5" i="2"/>
  <c r="U6" i="6"/>
  <c r="U7" i="6"/>
  <c r="U8" i="6"/>
  <c r="U9" i="6"/>
  <c r="U10" i="6"/>
  <c r="U11" i="6"/>
  <c r="U12" i="6"/>
  <c r="U13" i="6"/>
  <c r="U14" i="6"/>
  <c r="U15" i="6"/>
  <c r="U16" i="6"/>
  <c r="U17" i="6"/>
  <c r="U18" i="6" l="1"/>
  <c r="F5" i="2"/>
  <c r="G5" i="2"/>
  <c r="E6" i="2"/>
  <c r="Q6" i="6"/>
  <c r="Q7" i="6"/>
  <c r="Q8" i="6"/>
  <c r="Q9" i="6"/>
  <c r="Q10" i="6"/>
  <c r="Q11" i="6"/>
  <c r="Q12" i="6"/>
  <c r="Q13" i="6"/>
  <c r="Q14" i="6"/>
  <c r="Q15" i="6"/>
  <c r="Q16" i="6"/>
  <c r="Q17" i="6"/>
  <c r="R6" i="6"/>
  <c r="R7" i="6"/>
  <c r="R8" i="6"/>
  <c r="R9" i="6"/>
  <c r="R10" i="6"/>
  <c r="R11" i="6"/>
  <c r="R12" i="6"/>
  <c r="R13" i="6"/>
  <c r="R14" i="6"/>
  <c r="R15" i="6"/>
  <c r="R16" i="6"/>
  <c r="R17" i="6"/>
  <c r="R5" i="6"/>
  <c r="Q5" i="6"/>
  <c r="B4" i="2"/>
  <c r="Q18" i="6" l="1"/>
  <c r="R18" i="6"/>
  <c r="S6" i="6"/>
  <c r="B7" i="2"/>
  <c r="F6" i="2"/>
  <c r="G6" i="2"/>
  <c r="S5" i="6"/>
  <c r="S17" i="6"/>
  <c r="S16" i="6"/>
  <c r="S15" i="6"/>
  <c r="S14" i="6"/>
  <c r="S13" i="6"/>
  <c r="S12" i="6"/>
  <c r="S11" i="6"/>
  <c r="S10" i="6"/>
  <c r="S9" i="6"/>
  <c r="S8" i="6"/>
  <c r="S7" i="6"/>
  <c r="F7" i="2"/>
  <c r="M18" i="6"/>
  <c r="N7" i="6"/>
  <c r="P7" i="6" s="1"/>
  <c r="N8" i="6"/>
  <c r="P8" i="6" s="1"/>
  <c r="N9" i="6"/>
  <c r="P9" i="6" s="1"/>
  <c r="N10" i="6"/>
  <c r="P10" i="6" s="1"/>
  <c r="N11" i="6"/>
  <c r="P11" i="6" s="1"/>
  <c r="N12" i="6"/>
  <c r="P12" i="6" s="1"/>
  <c r="N13" i="6"/>
  <c r="P13" i="6" s="1"/>
  <c r="N14" i="6"/>
  <c r="P14" i="6" s="1"/>
  <c r="N15" i="6"/>
  <c r="P15" i="6" s="1"/>
  <c r="N16" i="6"/>
  <c r="P16" i="6" s="1"/>
  <c r="N17" i="6"/>
  <c r="P17" i="6" s="1"/>
  <c r="V6" i="6"/>
  <c r="V7" i="6"/>
  <c r="V8" i="6"/>
  <c r="V9" i="6"/>
  <c r="V10" i="6"/>
  <c r="V11" i="6"/>
  <c r="V12" i="6"/>
  <c r="V13" i="6"/>
  <c r="V14" i="6"/>
  <c r="V15" i="6"/>
  <c r="V16" i="6"/>
  <c r="V17" i="6"/>
  <c r="H18" i="6"/>
  <c r="F18" i="6"/>
  <c r="N6" i="6"/>
  <c r="P6" i="6" s="1"/>
  <c r="V5" i="6"/>
  <c r="N5" i="6"/>
  <c r="P5" i="6" s="1"/>
  <c r="W14" i="6" l="1"/>
  <c r="W10" i="6"/>
  <c r="V18" i="6"/>
  <c r="W17" i="6"/>
  <c r="W13" i="6"/>
  <c r="W9" i="6"/>
  <c r="W8" i="6"/>
  <c r="W6" i="6"/>
  <c r="W16" i="6"/>
  <c r="W12" i="6"/>
  <c r="W15" i="6"/>
  <c r="W11" i="6"/>
  <c r="W7" i="6"/>
  <c r="P18" i="6"/>
  <c r="W5" i="6"/>
  <c r="X5" i="6" s="1"/>
  <c r="S18" i="6"/>
  <c r="N18" i="6"/>
  <c r="AA5" i="6" l="1"/>
  <c r="X6" i="6"/>
  <c r="AA6" i="6"/>
  <c r="AA17" i="6"/>
  <c r="X17" i="6"/>
  <c r="AA15" i="6"/>
  <c r="X15" i="6"/>
  <c r="AA8" i="6"/>
  <c r="X8" i="6"/>
  <c r="AA12" i="6"/>
  <c r="X12" i="6"/>
  <c r="X9" i="6"/>
  <c r="AA9" i="6"/>
  <c r="X10" i="6"/>
  <c r="AA10" i="6"/>
  <c r="AA11" i="6"/>
  <c r="X11" i="6"/>
  <c r="Z5" i="6"/>
  <c r="Y5" i="6"/>
  <c r="AA7" i="6"/>
  <c r="X7" i="6"/>
  <c r="AA16" i="6"/>
  <c r="X16" i="6"/>
  <c r="AA13" i="6"/>
  <c r="X13" i="6"/>
  <c r="X14" i="6"/>
  <c r="AA14" i="6"/>
  <c r="W18" i="6"/>
  <c r="AD5" i="6" l="1"/>
  <c r="Y10" i="6"/>
  <c r="Z10" i="6"/>
  <c r="Z8" i="6"/>
  <c r="Y8" i="6"/>
  <c r="AB8" i="6" s="1"/>
  <c r="AE8" i="6" s="1"/>
  <c r="AF8" i="6" s="1"/>
  <c r="AA18" i="6"/>
  <c r="Y17" i="6"/>
  <c r="AB17" i="6" s="1"/>
  <c r="Z17" i="6"/>
  <c r="Y6" i="6"/>
  <c r="AB6" i="6" s="1"/>
  <c r="Z6" i="6"/>
  <c r="Z16" i="6"/>
  <c r="Y16" i="6"/>
  <c r="AB16" i="6" s="1"/>
  <c r="Z11" i="6"/>
  <c r="Y11" i="6"/>
  <c r="AB11" i="6" s="1"/>
  <c r="AE11" i="6" s="1"/>
  <c r="AF11" i="6" s="1"/>
  <c r="Y9" i="6"/>
  <c r="AB9" i="6" s="1"/>
  <c r="AE9" i="6" s="1"/>
  <c r="AF9" i="6" s="1"/>
  <c r="Z9" i="6"/>
  <c r="Y13" i="6"/>
  <c r="Z13" i="6"/>
  <c r="Z12" i="6"/>
  <c r="Y12" i="6"/>
  <c r="Y14" i="6"/>
  <c r="Z14" i="6"/>
  <c r="Y7" i="6"/>
  <c r="AB7" i="6" s="1"/>
  <c r="AE7" i="6" s="1"/>
  <c r="AF7" i="6" s="1"/>
  <c r="Z7" i="6"/>
  <c r="AB10" i="6"/>
  <c r="AE10" i="6" s="1"/>
  <c r="AF10" i="6" s="1"/>
  <c r="Z15" i="6"/>
  <c r="Y15" i="6"/>
  <c r="AB15" i="6" s="1"/>
  <c r="AE15" i="6" s="1"/>
  <c r="AF15" i="6" s="1"/>
  <c r="X18" i="6"/>
  <c r="Y19" i="6" s="1"/>
  <c r="AB5" i="6"/>
  <c r="AC5" i="6" s="1"/>
  <c r="AE5" i="6" s="1"/>
  <c r="AC8" i="6" l="1"/>
  <c r="AD16" i="6"/>
  <c r="AD10" i="6"/>
  <c r="AD6" i="6"/>
  <c r="AD7" i="6"/>
  <c r="Y20" i="6"/>
  <c r="AE17" i="6"/>
  <c r="AF17" i="6" s="1"/>
  <c r="AC17" i="6"/>
  <c r="AC6" i="6"/>
  <c r="AE6" i="6" s="1"/>
  <c r="AF6" i="6" s="1"/>
  <c r="AE16" i="6"/>
  <c r="AF16" i="6" s="1"/>
  <c r="AC16" i="6"/>
  <c r="AC9" i="6"/>
  <c r="AC11" i="6"/>
  <c r="AC15" i="6"/>
  <c r="AB12" i="6"/>
  <c r="AE12" i="6" s="1"/>
  <c r="AF12" i="6" s="1"/>
  <c r="AB13" i="6"/>
  <c r="AE13" i="6" s="1"/>
  <c r="AF13" i="6" s="1"/>
  <c r="AD15" i="6"/>
  <c r="AD12" i="6"/>
  <c r="AD11" i="6"/>
  <c r="AC7" i="6"/>
  <c r="AB14" i="6"/>
  <c r="AE14" i="6" s="1"/>
  <c r="AF14" i="6" s="1"/>
  <c r="AC10" i="6"/>
  <c r="AD14" i="6"/>
  <c r="AD13" i="6"/>
  <c r="AD9" i="6"/>
  <c r="AD17" i="6"/>
  <c r="AD8" i="6"/>
  <c r="Y18" i="6"/>
  <c r="Y21" i="6" s="1"/>
  <c r="Z18" i="6"/>
  <c r="AD18" i="6" l="1"/>
  <c r="AC13" i="6"/>
  <c r="AC12" i="6"/>
  <c r="AC18" i="6" s="1"/>
  <c r="AC14" i="6"/>
  <c r="AB18" i="6"/>
  <c r="AB20" i="6" s="1"/>
  <c r="AF5" i="6"/>
  <c r="AF18" i="6" s="1"/>
  <c r="AE18" i="6" l="1"/>
</calcChain>
</file>

<file path=xl/sharedStrings.xml><?xml version="1.0" encoding="utf-8"?>
<sst xmlns="http://schemas.openxmlformats.org/spreadsheetml/2006/main" count="70" uniqueCount="68">
  <si>
    <t>ردیف</t>
  </si>
  <si>
    <t>نام</t>
  </si>
  <si>
    <t>مالیات</t>
  </si>
  <si>
    <t>خالص دریافتی</t>
  </si>
  <si>
    <t>اطلاعات پرسنل</t>
  </si>
  <si>
    <t>اقلام حقوق ناخالص</t>
  </si>
  <si>
    <t>اقلام کسور</t>
  </si>
  <si>
    <t>نام 
خانوادگی</t>
  </si>
  <si>
    <t>شماره
 پرسنلی</t>
  </si>
  <si>
    <t>حقوق
 ماهیانه</t>
  </si>
  <si>
    <t>حق 
مسکن</t>
  </si>
  <si>
    <t>بن  
خواروبار</t>
  </si>
  <si>
    <t xml:space="preserve">حق 
اولاد </t>
  </si>
  <si>
    <t>حق 
ماموریت</t>
  </si>
  <si>
    <t>حقوق ناخالص
 دریافتی</t>
  </si>
  <si>
    <t>جمع 
کسور</t>
  </si>
  <si>
    <t xml:space="preserve">جمع کل: </t>
  </si>
  <si>
    <t>روزهای کارکرد</t>
  </si>
  <si>
    <t xml:space="preserve"> مبلغ 
اضافه کار</t>
  </si>
  <si>
    <t>ماده 46 ق.ک</t>
  </si>
  <si>
    <t>ماده59 ق.ک</t>
  </si>
  <si>
    <t>تعداد روز ماموریت</t>
  </si>
  <si>
    <t>ماده 53 ق.ک</t>
  </si>
  <si>
    <t>مبلغ مشمول بیمه</t>
  </si>
  <si>
    <t>7% بیمه 
سهم کارکنان</t>
  </si>
  <si>
    <t>23% بیمه سهم کارفرما</t>
  </si>
  <si>
    <t>ماده 86
ت.ا</t>
  </si>
  <si>
    <t>ت3 ماده 36</t>
  </si>
  <si>
    <t>30 % کسور</t>
  </si>
  <si>
    <t>% 3بیکاری</t>
  </si>
  <si>
    <t>% 20کافرما</t>
  </si>
  <si>
    <t>حداقل دستمزد وزارت کاری سال 97</t>
  </si>
  <si>
    <t>حق مسکن</t>
  </si>
  <si>
    <t>حق بن</t>
  </si>
  <si>
    <t xml:space="preserve">حقوق پایه روزانه </t>
  </si>
  <si>
    <t>روزهای کل ماه</t>
  </si>
  <si>
    <t xml:space="preserve">پایه سواتی </t>
  </si>
  <si>
    <t>پایه سنواتی روزانه 97</t>
  </si>
  <si>
    <t>پایه سنواتی روزانه 96</t>
  </si>
  <si>
    <t>پایه سنواتی روزانه 95</t>
  </si>
  <si>
    <t>پایه سنواتی روزانه 94</t>
  </si>
  <si>
    <t>پایه سنواتی روزانه 93</t>
  </si>
  <si>
    <t>پایه سنواتی روزانه 92</t>
  </si>
  <si>
    <t>پایه سنواتی روزانه 91</t>
  </si>
  <si>
    <t>تاریخ استخدام</t>
  </si>
  <si>
    <t>ساعت اضافه کاری</t>
  </si>
  <si>
    <t xml:space="preserve">حقوق پایه </t>
  </si>
  <si>
    <t>شب کاری</t>
  </si>
  <si>
    <t>ساعت شب کاری</t>
  </si>
  <si>
    <t>مازاد</t>
  </si>
  <si>
    <t>مالیات تا سقف 161 میلیون ریال</t>
  </si>
  <si>
    <t>کل مالیات متعلقه</t>
  </si>
  <si>
    <t>ضریب مالیاتی - درصد</t>
  </si>
  <si>
    <t>سالانه - ریال</t>
  </si>
  <si>
    <t>ماهانه - ريال</t>
  </si>
  <si>
    <t xml:space="preserve">معافیت مالیاتی </t>
  </si>
  <si>
    <t>مازاد بر 1 برابر معافیت حقوق تا میزان 4 برابر آن</t>
  </si>
  <si>
    <t>مازاد بر 4 برابر معافیت حقوق تا میزان 5 برابر آن</t>
  </si>
  <si>
    <t>مازاد بر 5 برابر معافیت حقوق تا میزان 7 برابر آن</t>
  </si>
  <si>
    <t>مازاد بر 7 برابر معافیت حقوق</t>
  </si>
  <si>
    <t>سقف 7 برابری وزارت کار</t>
  </si>
  <si>
    <t>ابراهیم</t>
  </si>
  <si>
    <t>صدرایی</t>
  </si>
  <si>
    <t>1397/01/01</t>
  </si>
  <si>
    <r>
      <t xml:space="preserve">مبلغ مشمول مالیات
</t>
    </r>
    <r>
      <rPr>
        <b/>
        <sz val="10"/>
        <color theme="1"/>
        <rFont val="Calibri"/>
        <family val="2"/>
        <scheme val="minor"/>
      </rPr>
      <t>(قبل از کسر دوهفتم)</t>
    </r>
  </si>
  <si>
    <t>کد ملی</t>
  </si>
  <si>
    <t>تعداد فرزند</t>
  </si>
  <si>
    <t>حقوق 
روزانه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</si>
</sst>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;[Red]#,##0"/>
    <numFmt numFmtId="165" formatCode="_(* #,##0_);_(* \(#,##0\);_(* &quot;-&quot;??_);_(@_)"/>
    <numFmt numFmtId="166" formatCode="%\ 0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B Nazanin"/>
      <charset val="178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double">
        <color auto="1"/>
      </top>
      <bottom style="thick">
        <color auto="1"/>
      </bottom>
      <diagonal/>
    </border>
    <border>
      <left/>
      <right style="thin">
        <color auto="1"/>
      </right>
      <top style="double">
        <color auto="1"/>
      </top>
      <bottom style="thick">
        <color auto="1"/>
      </bottom>
      <diagonal/>
    </border>
    <border>
      <left style="thick">
        <color auto="1"/>
      </left>
      <right/>
      <top style="double">
        <color auto="1"/>
      </top>
      <bottom style="thick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rgb="FFFF0000"/>
      </right>
      <top style="thick">
        <color auto="1"/>
      </top>
      <bottom style="thin">
        <color rgb="FFFF0000"/>
      </bottom>
      <diagonal/>
    </border>
    <border>
      <left style="thick">
        <color auto="1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ck">
        <color auto="1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8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center"/>
    </xf>
    <xf numFmtId="165" fontId="0" fillId="0" borderId="0" xfId="1" applyNumberFormat="1" applyFont="1"/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readingOrder="2"/>
    </xf>
    <xf numFmtId="165" fontId="0" fillId="0" borderId="0" xfId="0" applyNumberFormat="1"/>
    <xf numFmtId="164" fontId="6" fillId="6" borderId="8" xfId="0" applyNumberFormat="1" applyFont="1" applyFill="1" applyBorder="1" applyAlignment="1">
      <alignment horizontal="center" vertical="center" readingOrder="2"/>
    </xf>
    <xf numFmtId="164" fontId="6" fillId="6" borderId="24" xfId="0" applyNumberFormat="1" applyFont="1" applyFill="1" applyBorder="1" applyAlignment="1">
      <alignment horizontal="center" vertical="center" readingOrder="2"/>
    </xf>
    <xf numFmtId="164" fontId="6" fillId="6" borderId="7" xfId="0" applyNumberFormat="1" applyFont="1" applyFill="1" applyBorder="1" applyAlignment="1">
      <alignment horizontal="center" vertical="center" readingOrder="2"/>
    </xf>
    <xf numFmtId="164" fontId="6" fillId="6" borderId="10" xfId="0" applyNumberFormat="1" applyFont="1" applyFill="1" applyBorder="1" applyAlignment="1">
      <alignment horizontal="center" vertical="center" readingOrder="2"/>
    </xf>
    <xf numFmtId="164" fontId="6" fillId="6" borderId="5" xfId="0" applyNumberFormat="1" applyFont="1" applyFill="1" applyBorder="1" applyAlignment="1">
      <alignment horizontal="center" vertical="center" readingOrder="2"/>
    </xf>
    <xf numFmtId="0" fontId="7" fillId="6" borderId="0" xfId="0" applyFont="1" applyFill="1"/>
    <xf numFmtId="0" fontId="2" fillId="0" borderId="0" xfId="0" applyFont="1" applyBorder="1"/>
    <xf numFmtId="164" fontId="6" fillId="0" borderId="13" xfId="0" applyNumberFormat="1" applyFont="1" applyBorder="1" applyAlignment="1">
      <alignment horizontal="center" vertical="center" readingOrder="2"/>
    </xf>
    <xf numFmtId="0" fontId="1" fillId="4" borderId="13" xfId="0" applyFont="1" applyFill="1" applyBorder="1" applyAlignment="1">
      <alignment horizontal="center" vertical="center" wrapText="1" readingOrder="2"/>
    </xf>
    <xf numFmtId="164" fontId="6" fillId="4" borderId="13" xfId="0" applyNumberFormat="1" applyFont="1" applyFill="1" applyBorder="1" applyAlignment="1">
      <alignment horizontal="center" vertical="center" readingOrder="2"/>
    </xf>
    <xf numFmtId="164" fontId="6" fillId="0" borderId="25" xfId="0" applyNumberFormat="1" applyFont="1" applyBorder="1" applyAlignment="1">
      <alignment horizontal="center" vertical="center" readingOrder="2"/>
    </xf>
    <xf numFmtId="0" fontId="8" fillId="0" borderId="0" xfId="0" applyFont="1" applyBorder="1"/>
    <xf numFmtId="0" fontId="1" fillId="4" borderId="0" xfId="0" applyFont="1" applyFill="1" applyBorder="1" applyAlignment="1">
      <alignment horizontal="center" vertical="center" wrapText="1" readingOrder="2"/>
    </xf>
    <xf numFmtId="164" fontId="6" fillId="4" borderId="0" xfId="0" applyNumberFormat="1" applyFont="1" applyFill="1" applyBorder="1" applyAlignment="1">
      <alignment horizontal="center" vertical="center" readingOrder="2"/>
    </xf>
    <xf numFmtId="164" fontId="6" fillId="5" borderId="0" xfId="0" applyNumberFormat="1" applyFont="1" applyFill="1" applyBorder="1" applyAlignment="1">
      <alignment horizontal="center" vertical="center" readingOrder="2"/>
    </xf>
    <xf numFmtId="9" fontId="1" fillId="4" borderId="0" xfId="0" applyNumberFormat="1" applyFont="1" applyFill="1" applyBorder="1" applyAlignment="1">
      <alignment horizontal="center" vertical="center" wrapText="1" readingOrder="2"/>
    </xf>
    <xf numFmtId="0" fontId="12" fillId="0" borderId="0" xfId="0" applyFont="1"/>
    <xf numFmtId="0" fontId="12" fillId="5" borderId="28" xfId="0" applyFont="1" applyFill="1" applyBorder="1" applyAlignment="1">
      <alignment horizontal="center" vertical="center"/>
    </xf>
    <xf numFmtId="0" fontId="12" fillId="0" borderId="29" xfId="0" applyFont="1" applyBorder="1" applyAlignment="1">
      <alignment vertical="center"/>
    </xf>
    <xf numFmtId="165" fontId="12" fillId="0" borderId="30" xfId="1" applyNumberFormat="1" applyFont="1" applyBorder="1" applyAlignment="1">
      <alignment vertical="center"/>
    </xf>
    <xf numFmtId="166" fontId="12" fillId="0" borderId="31" xfId="2" applyNumberFormat="1" applyFont="1" applyBorder="1" applyAlignment="1">
      <alignment horizontal="center" vertical="center"/>
    </xf>
    <xf numFmtId="165" fontId="12" fillId="0" borderId="30" xfId="0" applyNumberFormat="1" applyFont="1" applyBorder="1" applyAlignment="1">
      <alignment vertical="center"/>
    </xf>
    <xf numFmtId="0" fontId="12" fillId="0" borderId="32" xfId="0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166" fontId="12" fillId="0" borderId="34" xfId="2" applyNumberFormat="1" applyFont="1" applyBorder="1" applyAlignment="1">
      <alignment horizontal="center" vertical="center"/>
    </xf>
    <xf numFmtId="165" fontId="12" fillId="0" borderId="36" xfId="1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2" fillId="5" borderId="26" xfId="0" applyFont="1" applyFill="1" applyBorder="1" applyAlignment="1">
      <alignment horizontal="center" vertical="center"/>
    </xf>
    <xf numFmtId="0" fontId="12" fillId="5" borderId="27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/>
    </xf>
    <xf numFmtId="165" fontId="6" fillId="2" borderId="23" xfId="1" applyNumberFormat="1" applyFont="1" applyFill="1" applyBorder="1" applyAlignment="1">
      <alignment horizontal="center" vertical="center" readingOrder="2"/>
    </xf>
    <xf numFmtId="165" fontId="6" fillId="2" borderId="39" xfId="1" applyNumberFormat="1" applyFont="1" applyFill="1" applyBorder="1" applyAlignment="1">
      <alignment horizontal="center" vertical="center" readingOrder="2"/>
    </xf>
    <xf numFmtId="164" fontId="6" fillId="6" borderId="40" xfId="0" applyNumberFormat="1" applyFont="1" applyFill="1" applyBorder="1" applyAlignment="1">
      <alignment horizontal="center" vertical="center" readingOrder="2"/>
    </xf>
    <xf numFmtId="165" fontId="6" fillId="3" borderId="38" xfId="1" applyNumberFormat="1" applyFont="1" applyFill="1" applyBorder="1" applyAlignment="1">
      <alignment horizontal="center" vertical="center" readingOrder="2"/>
    </xf>
    <xf numFmtId="0" fontId="1" fillId="5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textRotation="180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14" fillId="8" borderId="23" xfId="0" applyFont="1" applyFill="1" applyBorder="1" applyAlignment="1">
      <alignment horizontal="center" vertical="center" readingOrder="2"/>
    </xf>
    <xf numFmtId="0" fontId="6" fillId="8" borderId="23" xfId="0" applyFont="1" applyFill="1" applyBorder="1" applyAlignment="1">
      <alignment horizontal="center" vertical="center" readingOrder="2"/>
    </xf>
    <xf numFmtId="0" fontId="6" fillId="8" borderId="21" xfId="0" applyFont="1" applyFill="1" applyBorder="1" applyAlignment="1">
      <alignment horizontal="center" vertical="center" readingOrder="2"/>
    </xf>
    <xf numFmtId="0" fontId="6" fillId="8" borderId="22" xfId="0" applyFont="1" applyFill="1" applyBorder="1" applyAlignment="1">
      <alignment horizontal="center" vertical="center" readingOrder="2"/>
    </xf>
    <xf numFmtId="0" fontId="4" fillId="5" borderId="12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right" vertical="center" wrapText="1"/>
    </xf>
    <xf numFmtId="0" fontId="6" fillId="6" borderId="9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134805</xdr:colOff>
      <xdr:row>0</xdr:row>
      <xdr:rowOff>1</xdr:rowOff>
    </xdr:from>
    <xdr:to>
      <xdr:col>2</xdr:col>
      <xdr:colOff>859422</xdr:colOff>
      <xdr:row>0</xdr:row>
      <xdr:rowOff>985727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988384647" y="1"/>
          <a:ext cx="1477757" cy="985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rightToLeft="1" tabSelected="1" zoomScale="80" zoomScaleNormal="8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L5" sqref="L5"/>
    </sheetView>
  </sheetViews>
  <sheetFormatPr defaultColWidth="9.140625" defaultRowHeight="21" x14ac:dyDescent="0.35"/>
  <cols>
    <col min="1" max="1" width="4.28515625" style="1" customWidth="1"/>
    <col min="2" max="2" width="11.28515625" style="1" customWidth="1"/>
    <col min="3" max="3" width="19.42578125" style="1" customWidth="1"/>
    <col min="4" max="4" width="10.140625" style="1" customWidth="1"/>
    <col min="5" max="5" width="7.42578125" style="1" customWidth="1"/>
    <col min="6" max="6" width="6.28515625" style="1" customWidth="1"/>
    <col min="7" max="7" width="15.140625" style="1" bestFit="1" customWidth="1"/>
    <col min="8" max="8" width="9" style="1" customWidth="1"/>
    <col min="9" max="9" width="7.28515625" style="1" customWidth="1"/>
    <col min="10" max="10" width="8.140625" style="1" bestFit="1" customWidth="1"/>
    <col min="11" max="12" width="8.140625" style="1" customWidth="1"/>
    <col min="13" max="13" width="15.140625" style="1" customWidth="1"/>
    <col min="14" max="16" width="16.7109375" style="1" customWidth="1"/>
    <col min="17" max="17" width="15" style="1" customWidth="1"/>
    <col min="18" max="18" width="16.28515625" style="1" customWidth="1"/>
    <col min="19" max="19" width="14.5703125" style="1" customWidth="1"/>
    <col min="20" max="20" width="16.85546875" style="1" customWidth="1"/>
    <col min="21" max="21" width="15.28515625" style="1" customWidth="1"/>
    <col min="22" max="22" width="14.7109375" style="1" customWidth="1"/>
    <col min="23" max="23" width="21.7109375" style="1" bestFit="1" customWidth="1"/>
    <col min="24" max="24" width="18.140625" style="1" customWidth="1"/>
    <col min="25" max="25" width="15.5703125" style="1" customWidth="1"/>
    <col min="26" max="26" width="18.5703125" style="1" customWidth="1"/>
    <col min="27" max="27" width="21.7109375" style="1" bestFit="1" customWidth="1"/>
    <col min="28" max="28" width="17.28515625" style="1" hidden="1" customWidth="1"/>
    <col min="29" max="29" width="20.140625" style="1" bestFit="1" customWidth="1"/>
    <col min="30" max="30" width="17.28515625" style="1" customWidth="1"/>
    <col min="31" max="31" width="16.28515625" style="1" customWidth="1"/>
    <col min="32" max="32" width="20.28515625" style="1" customWidth="1"/>
    <col min="33" max="33" width="9.140625" style="2"/>
    <col min="34" max="16384" width="9.140625" style="1"/>
  </cols>
  <sheetData>
    <row r="1" spans="1:33" ht="79.5" customHeight="1" thickBot="1" x14ac:dyDescent="0.4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</row>
    <row r="2" spans="1:33" ht="30" customHeight="1" thickTop="1" thickBot="1" x14ac:dyDescent="0.4">
      <c r="A2" s="55" t="s">
        <v>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7"/>
      <c r="M2" s="66" t="s">
        <v>5</v>
      </c>
      <c r="N2" s="67"/>
      <c r="O2" s="67"/>
      <c r="P2" s="67"/>
      <c r="Q2" s="67"/>
      <c r="R2" s="67"/>
      <c r="S2" s="67"/>
      <c r="T2" s="67"/>
      <c r="U2" s="67"/>
      <c r="V2" s="67"/>
      <c r="W2" s="68"/>
      <c r="X2" s="69" t="s">
        <v>6</v>
      </c>
      <c r="Y2" s="70"/>
      <c r="Z2" s="70"/>
      <c r="AA2" s="70"/>
      <c r="AB2" s="70"/>
      <c r="AC2" s="70"/>
      <c r="AD2" s="70"/>
      <c r="AE2" s="71"/>
      <c r="AF2" s="75" t="s">
        <v>3</v>
      </c>
    </row>
    <row r="3" spans="1:33" ht="34.5" customHeight="1" thickTop="1" thickBot="1" x14ac:dyDescent="0.4">
      <c r="A3" s="58"/>
      <c r="B3" s="59"/>
      <c r="C3" s="59"/>
      <c r="D3" s="59"/>
      <c r="E3" s="59"/>
      <c r="F3" s="59"/>
      <c r="G3" s="59"/>
      <c r="H3" s="59"/>
      <c r="I3" s="59"/>
      <c r="J3" s="59"/>
      <c r="K3" s="59"/>
      <c r="L3" s="60"/>
      <c r="M3" s="77"/>
      <c r="N3" s="78"/>
      <c r="O3" s="45"/>
      <c r="P3" s="45"/>
      <c r="Q3" s="46" t="s">
        <v>27</v>
      </c>
      <c r="R3" s="46" t="s">
        <v>27</v>
      </c>
      <c r="S3" s="46" t="s">
        <v>26</v>
      </c>
      <c r="T3" s="46" t="s">
        <v>20</v>
      </c>
      <c r="U3" s="46" t="s">
        <v>22</v>
      </c>
      <c r="V3" s="46" t="s">
        <v>19</v>
      </c>
      <c r="W3" s="47"/>
      <c r="X3" s="72"/>
      <c r="Y3" s="73"/>
      <c r="Z3" s="73"/>
      <c r="AA3" s="73"/>
      <c r="AB3" s="73"/>
      <c r="AC3" s="73"/>
      <c r="AD3" s="73"/>
      <c r="AE3" s="74"/>
      <c r="AF3" s="76"/>
    </row>
    <row r="4" spans="1:33" s="7" customFormat="1" ht="48.75" customHeight="1" thickTop="1" thickBot="1" x14ac:dyDescent="0.3">
      <c r="A4" s="48" t="s">
        <v>0</v>
      </c>
      <c r="B4" s="49" t="s">
        <v>1</v>
      </c>
      <c r="C4" s="49" t="s">
        <v>7</v>
      </c>
      <c r="D4" s="49" t="s">
        <v>65</v>
      </c>
      <c r="E4" s="49" t="s">
        <v>8</v>
      </c>
      <c r="F4" s="49" t="s">
        <v>66</v>
      </c>
      <c r="G4" s="49" t="s">
        <v>44</v>
      </c>
      <c r="H4" s="49" t="s">
        <v>21</v>
      </c>
      <c r="I4" s="49" t="s">
        <v>35</v>
      </c>
      <c r="J4" s="49" t="s">
        <v>17</v>
      </c>
      <c r="K4" s="49" t="s">
        <v>45</v>
      </c>
      <c r="L4" s="49" t="s">
        <v>48</v>
      </c>
      <c r="M4" s="49" t="s">
        <v>67</v>
      </c>
      <c r="N4" s="49" t="s">
        <v>9</v>
      </c>
      <c r="O4" s="49" t="s">
        <v>36</v>
      </c>
      <c r="P4" s="49" t="s">
        <v>46</v>
      </c>
      <c r="Q4" s="49" t="s">
        <v>10</v>
      </c>
      <c r="R4" s="49" t="s">
        <v>11</v>
      </c>
      <c r="S4" s="49" t="s">
        <v>12</v>
      </c>
      <c r="T4" s="49" t="s">
        <v>18</v>
      </c>
      <c r="U4" s="49" t="s">
        <v>47</v>
      </c>
      <c r="V4" s="49" t="s">
        <v>13</v>
      </c>
      <c r="W4" s="49" t="s">
        <v>14</v>
      </c>
      <c r="X4" s="49" t="s">
        <v>23</v>
      </c>
      <c r="Y4" s="49" t="s">
        <v>24</v>
      </c>
      <c r="Z4" s="49" t="s">
        <v>25</v>
      </c>
      <c r="AA4" s="49" t="s">
        <v>64</v>
      </c>
      <c r="AB4" s="49" t="s">
        <v>50</v>
      </c>
      <c r="AC4" s="49" t="s">
        <v>51</v>
      </c>
      <c r="AD4" s="49" t="s">
        <v>28</v>
      </c>
      <c r="AE4" s="49" t="s">
        <v>15</v>
      </c>
      <c r="AF4" s="50" t="s">
        <v>3</v>
      </c>
      <c r="AG4" s="6"/>
    </row>
    <row r="5" spans="1:33" ht="30" customHeight="1" thickTop="1" x14ac:dyDescent="0.35">
      <c r="A5" s="53">
        <v>1</v>
      </c>
      <c r="B5" s="51" t="s">
        <v>61</v>
      </c>
      <c r="C5" s="51" t="s">
        <v>62</v>
      </c>
      <c r="D5" s="52"/>
      <c r="E5" s="52">
        <v>1000</v>
      </c>
      <c r="F5" s="52">
        <v>2</v>
      </c>
      <c r="G5" s="52" t="s">
        <v>63</v>
      </c>
      <c r="H5" s="52">
        <v>1</v>
      </c>
      <c r="I5" s="52">
        <v>30</v>
      </c>
      <c r="J5" s="52">
        <v>30</v>
      </c>
      <c r="K5" s="52">
        <v>20</v>
      </c>
      <c r="L5" s="52">
        <v>20</v>
      </c>
      <c r="M5" s="41">
        <v>4500000</v>
      </c>
      <c r="N5" s="41">
        <f t="shared" ref="N5:N17" si="0">M5*J5</f>
        <v>135000000</v>
      </c>
      <c r="O5" s="41">
        <f>ROUND('بخشنامه وزارت کار'!$B$8*J5,0)</f>
        <v>510000</v>
      </c>
      <c r="P5" s="41">
        <f t="shared" ref="P5:P17" si="1">O5+N5</f>
        <v>135510000</v>
      </c>
      <c r="Q5" s="41">
        <f>ROUND('بخشنامه وزارت کار'!$B$5/I5*J5,0)</f>
        <v>400000</v>
      </c>
      <c r="R5" s="41">
        <f>ROUND('بخشنامه وزارت کار'!$B$6/I5*J5,0)</f>
        <v>1100000</v>
      </c>
      <c r="S5" s="41">
        <f>ROUND((3*'بخشنامه وزارت کار'!$B$4*F5/I5*J5),0)</f>
        <v>2222535</v>
      </c>
      <c r="T5" s="41">
        <f t="shared" ref="T5:T17" si="2">ROUND((M5/(7.33)*140%)*K5,0)</f>
        <v>17189632</v>
      </c>
      <c r="U5" s="41">
        <f>ROUND((M5/(7.33)*135%)*L5,0)</f>
        <v>16575716</v>
      </c>
      <c r="V5" s="41">
        <f t="shared" ref="V5:V17" si="3">M5*H5</f>
        <v>4500000</v>
      </c>
      <c r="W5" s="41">
        <f>SUM(P5:V5)</f>
        <v>177497883</v>
      </c>
      <c r="X5" s="41">
        <f t="shared" ref="X5" si="4">W5-S5-V5</f>
        <v>170775348</v>
      </c>
      <c r="Y5" s="41">
        <f>IF(X5&lt;=(7*'بخشنامه وزارت کار'!$B$7)*J5,X5*7%,(7*'بخشنامه وزارت کار'!$B$7*J5)*7%)</f>
        <v>11954274.360000001</v>
      </c>
      <c r="Z5" s="41">
        <f>IF(X5&lt;=(7*'بخشنامه وزارت کار'!$B$7)*J5,X5*23%,(7*'بخشنامه وزارت کار'!$B$7*J5)*23%)</f>
        <v>39278330.039999999</v>
      </c>
      <c r="AA5" s="41">
        <f t="shared" ref="AA5" si="5">W5-V5</f>
        <v>172997883</v>
      </c>
      <c r="AB5" s="41">
        <f>ROUND(IF((AA5-(Y5*2)/7)&lt;='بخشنامه وزارت کار'!$E$4,0,IF((AA5-(Y5*2)/7)&lt;='بخشنامه وزارت کار'!$E$5,((AA5-(Y5*2)/7)-'بخشنامه وزارت کار'!$E$4)*0.1,IF((AA5-(Y5*2)/7)&lt;='بخشنامه وزارت کار'!$E$6,'بخشنامه وزارت کار'!$F$5*0.1+((AA5-(Y5*2)/7-'بخشنامه وزارت کار'!$E$5)*0.15),'بخشنامه وزارت کار'!$F$5*0.1+'بخشنامه وزارت کار'!$F$6*0.15+((AA5-(Y5*2)/7-'بخشنامه وزارت کار'!$E$6)*0.25)))),0)</f>
        <v>23995594</v>
      </c>
      <c r="AC5" s="41">
        <f>ROUND(IF(AA5-(Y5*2)/7&lt;='بخشنامه وزارت کار'!$E$7,'فروردین 97'!AB5,'بخشنامه وزارت کار'!$F$5*0.1+'بخشنامه وزارت کار'!$F$6*0.15+'بخشنامه وزارت کار'!$F$7*0.25+((AA5-(Y5*2)/7-'بخشنامه وزارت کار'!$E$7)*0.35)),0)</f>
        <v>24853832</v>
      </c>
      <c r="AD5" s="41">
        <f>Z5+Y5</f>
        <v>51232604.399999999</v>
      </c>
      <c r="AE5" s="42">
        <f>AC5+Y5</f>
        <v>36808106.359999999</v>
      </c>
      <c r="AF5" s="44">
        <f t="shared" ref="AF5:AF17" si="6">W5-AE5</f>
        <v>140689776.63999999</v>
      </c>
    </row>
    <row r="6" spans="1:33" ht="30" customHeight="1" x14ac:dyDescent="0.35">
      <c r="A6" s="54">
        <v>2</v>
      </c>
      <c r="B6" s="51"/>
      <c r="C6" s="51"/>
      <c r="D6" s="52"/>
      <c r="E6" s="52"/>
      <c r="F6" s="52"/>
      <c r="G6" s="52"/>
      <c r="H6" s="52"/>
      <c r="I6" s="52">
        <v>30</v>
      </c>
      <c r="J6" s="52"/>
      <c r="K6" s="52"/>
      <c r="L6" s="52"/>
      <c r="M6" s="41"/>
      <c r="N6" s="41">
        <f t="shared" si="0"/>
        <v>0</v>
      </c>
      <c r="O6" s="41">
        <f>ROUND('بخشنامه وزارت کار'!$B$8*J6,0)</f>
        <v>0</v>
      </c>
      <c r="P6" s="41">
        <f t="shared" si="1"/>
        <v>0</v>
      </c>
      <c r="Q6" s="41">
        <f>ROUND('بخشنامه وزارت کار'!$B$5/I6*J6,0)</f>
        <v>0</v>
      </c>
      <c r="R6" s="41">
        <f>ROUND('بخشنامه وزارت کار'!$B$6/I6*J6,0)</f>
        <v>0</v>
      </c>
      <c r="S6" s="41">
        <f>ROUND((3*'بخشنامه وزارت کار'!$B$4*F6/I6*J6),0)</f>
        <v>0</v>
      </c>
      <c r="T6" s="41">
        <f t="shared" si="2"/>
        <v>0</v>
      </c>
      <c r="U6" s="41">
        <f t="shared" ref="U6:U17" si="7">ROUND((M6)/(7.33)*L6,0)</f>
        <v>0</v>
      </c>
      <c r="V6" s="41">
        <f t="shared" si="3"/>
        <v>0</v>
      </c>
      <c r="W6" s="41">
        <f t="shared" ref="W6:W17" si="8">SUM(P6:V6)</f>
        <v>0</v>
      </c>
      <c r="X6" s="41">
        <f t="shared" ref="X6:X17" si="9">W6-S6-V6</f>
        <v>0</v>
      </c>
      <c r="Y6" s="41">
        <f>IF(X6&lt;=(7*'بخشنامه وزارت کار'!$B$7)*J6,X6*7%,(7*'بخشنامه وزارت کار'!$B$7*J6)*7%)</f>
        <v>0</v>
      </c>
      <c r="Z6" s="41">
        <f>IF(X6&lt;=(7*'بخشنامه وزارت کار'!$B$7)*J6,X6*23%,(7*'بخشنامه وزارت کار'!$B$7*J6)*23%)</f>
        <v>0</v>
      </c>
      <c r="AA6" s="41">
        <f t="shared" ref="AA6:AA17" si="10">W6-V6</f>
        <v>0</v>
      </c>
      <c r="AB6" s="41">
        <f>ROUND(IF((AA6-(Y6*2)/7)&lt;='بخشنامه وزارت کار'!$E$4,0,IF((AA6-(Y6*2)/7)&lt;='بخشنامه وزارت کار'!$E$5,((AA6-(Y6*2)/7)-'بخشنامه وزارت کار'!$E$4)*0.1,IF((AA6-(Y6*2)/7)&lt;='بخشنامه وزارت کار'!$E$6,'بخشنامه وزارت کار'!$F$5*0.1+((AA6-(Y6*2)/7-'بخشنامه وزارت کار'!$E$5)*0.15),'بخشنامه وزارت کار'!$F$5*0.1+'بخشنامه وزارت کار'!$F$6*0.15+((AA6-(Y6*2)/7-'بخشنامه وزارت کار'!$E$6)*0.25)))),0)</f>
        <v>0</v>
      </c>
      <c r="AC6" s="41">
        <f>ROUND(IF(AA6-(Y6*2)/7&lt;='بخشنامه وزارت کار'!$E$7,'فروردین 97'!AB6,'بخشنامه وزارت کار'!$F$5*0.1+'بخشنامه وزارت کار'!$F$6*0.15+'بخشنامه وزارت کار'!$F$7*0.25+((AA6-(Y6*2)/7-'بخشنامه وزارت کار'!$E$7)*0.35)),0)</f>
        <v>0</v>
      </c>
      <c r="AD6" s="41">
        <f t="shared" ref="AD6:AD17" si="11">Z6+Y6</f>
        <v>0</v>
      </c>
      <c r="AE6" s="42">
        <f>AC6+Y6</f>
        <v>0</v>
      </c>
      <c r="AF6" s="44">
        <f t="shared" si="6"/>
        <v>0</v>
      </c>
    </row>
    <row r="7" spans="1:33" ht="30" customHeight="1" x14ac:dyDescent="0.35">
      <c r="A7" s="54">
        <v>3</v>
      </c>
      <c r="B7" s="51"/>
      <c r="C7" s="51"/>
      <c r="D7" s="52"/>
      <c r="E7" s="52"/>
      <c r="F7" s="52"/>
      <c r="G7" s="52"/>
      <c r="H7" s="52"/>
      <c r="I7" s="52">
        <v>30</v>
      </c>
      <c r="J7" s="52"/>
      <c r="K7" s="52"/>
      <c r="L7" s="52"/>
      <c r="M7" s="41"/>
      <c r="N7" s="41">
        <f t="shared" si="0"/>
        <v>0</v>
      </c>
      <c r="O7" s="41">
        <f>ROUND('بخشنامه وزارت کار'!$B$8*J7,0)</f>
        <v>0</v>
      </c>
      <c r="P7" s="41">
        <f t="shared" si="1"/>
        <v>0</v>
      </c>
      <c r="Q7" s="41">
        <f>ROUND('بخشنامه وزارت کار'!$B$5/I7*J7,0)</f>
        <v>0</v>
      </c>
      <c r="R7" s="41">
        <f>ROUND('بخشنامه وزارت کار'!$B$6/I7*J7,0)</f>
        <v>0</v>
      </c>
      <c r="S7" s="41">
        <f>ROUND((3*'بخشنامه وزارت کار'!$B$4*F7/I7*J7),0)</f>
        <v>0</v>
      </c>
      <c r="T7" s="41">
        <f t="shared" si="2"/>
        <v>0</v>
      </c>
      <c r="U7" s="41">
        <f t="shared" si="7"/>
        <v>0</v>
      </c>
      <c r="V7" s="41">
        <f t="shared" si="3"/>
        <v>0</v>
      </c>
      <c r="W7" s="41">
        <f t="shared" si="8"/>
        <v>0</v>
      </c>
      <c r="X7" s="41">
        <f t="shared" si="9"/>
        <v>0</v>
      </c>
      <c r="Y7" s="41">
        <f>IF(X7&lt;=(7*'بخشنامه وزارت کار'!$B$7)*J7,X7*7%,(7*'بخشنامه وزارت کار'!$B$7*J7)*7%)</f>
        <v>0</v>
      </c>
      <c r="Z7" s="41">
        <f>IF(X7&lt;=(7*'بخشنامه وزارت کار'!$B$7)*J7,X7*23%,(7*'بخشنامه وزارت کار'!$B$7*J7)*23%)</f>
        <v>0</v>
      </c>
      <c r="AA7" s="41">
        <f t="shared" si="10"/>
        <v>0</v>
      </c>
      <c r="AB7" s="41">
        <f>ROUND(IF((AA7-(Y7*2)/7)&lt;='بخشنامه وزارت کار'!$E$4,0,IF((AA7-(Y7*2)/7)&lt;='بخشنامه وزارت کار'!$E$5,((AA7-(Y7*2)/7)-'بخشنامه وزارت کار'!$E$4)*0.1,IF((AA7-(Y7*2)/7)&lt;='بخشنامه وزارت کار'!$E$6,'بخشنامه وزارت کار'!$F$5*0.1+((AA7-(Y7*2)/7-'بخشنامه وزارت کار'!$E$5)*0.15),'بخشنامه وزارت کار'!$F$5*0.1+'بخشنامه وزارت کار'!$F$6*0.15+((AA7-(Y7*2)/7-'بخشنامه وزارت کار'!$E$6)*0.25)))),0)</f>
        <v>0</v>
      </c>
      <c r="AC7" s="41">
        <f>ROUND(IF(AA7-(Y7*2)/7&lt;='بخشنامه وزارت کار'!$E$7,'فروردین 97'!AB7,'بخشنامه وزارت کار'!$F$5*0.1+'بخشنامه وزارت کار'!$F$6*0.15+'بخشنامه وزارت کار'!$F$7*0.25+((AA7-(Y7*2)/7-'بخشنامه وزارت کار'!$E$7)*0.35)),0)</f>
        <v>0</v>
      </c>
      <c r="AD7" s="41">
        <f t="shared" si="11"/>
        <v>0</v>
      </c>
      <c r="AE7" s="42">
        <f t="shared" ref="AE7:AE17" si="12">AB7+Y7</f>
        <v>0</v>
      </c>
      <c r="AF7" s="44">
        <f t="shared" si="6"/>
        <v>0</v>
      </c>
    </row>
    <row r="8" spans="1:33" ht="30" customHeight="1" x14ac:dyDescent="0.35">
      <c r="A8" s="54">
        <v>4</v>
      </c>
      <c r="B8" s="51"/>
      <c r="C8" s="51"/>
      <c r="D8" s="52"/>
      <c r="E8" s="52"/>
      <c r="F8" s="52"/>
      <c r="G8" s="52"/>
      <c r="H8" s="52"/>
      <c r="I8" s="52">
        <v>30</v>
      </c>
      <c r="J8" s="52"/>
      <c r="K8" s="52"/>
      <c r="L8" s="52"/>
      <c r="M8" s="41"/>
      <c r="N8" s="41">
        <f t="shared" si="0"/>
        <v>0</v>
      </c>
      <c r="O8" s="41">
        <f>ROUND('بخشنامه وزارت کار'!$B$8*J8,0)</f>
        <v>0</v>
      </c>
      <c r="P8" s="41">
        <f t="shared" si="1"/>
        <v>0</v>
      </c>
      <c r="Q8" s="41">
        <f>ROUND('بخشنامه وزارت کار'!$B$5/I8*J8,0)</f>
        <v>0</v>
      </c>
      <c r="R8" s="41">
        <f>ROUND('بخشنامه وزارت کار'!$B$6/I8*J8,0)</f>
        <v>0</v>
      </c>
      <c r="S8" s="41">
        <f>ROUND((3*'بخشنامه وزارت کار'!$B$4*F8/I8*J8),0)</f>
        <v>0</v>
      </c>
      <c r="T8" s="41">
        <f t="shared" si="2"/>
        <v>0</v>
      </c>
      <c r="U8" s="41">
        <f t="shared" si="7"/>
        <v>0</v>
      </c>
      <c r="V8" s="41">
        <f t="shared" si="3"/>
        <v>0</v>
      </c>
      <c r="W8" s="41">
        <f t="shared" si="8"/>
        <v>0</v>
      </c>
      <c r="X8" s="41">
        <f t="shared" si="9"/>
        <v>0</v>
      </c>
      <c r="Y8" s="41">
        <f>IF(X8&lt;=(7*'بخشنامه وزارت کار'!$B$7)*J8,X8*7%,(7*'بخشنامه وزارت کار'!$B$7*J8)*7%)</f>
        <v>0</v>
      </c>
      <c r="Z8" s="41">
        <f>IF(X8&lt;=(7*'بخشنامه وزارت کار'!$B$7)*J8,X8*23%,(7*'بخشنامه وزارت کار'!$B$7*J8)*23%)</f>
        <v>0</v>
      </c>
      <c r="AA8" s="41">
        <f t="shared" si="10"/>
        <v>0</v>
      </c>
      <c r="AB8" s="41">
        <f>ROUND(IF((AA8-(Y8*2)/7)&lt;='بخشنامه وزارت کار'!$E$4,0,IF((AA8-(Y8*2)/7)&lt;='بخشنامه وزارت کار'!$E$5,((AA8-(Y8*2)/7)-'بخشنامه وزارت کار'!$E$4)*0.1,IF((AA8-(Y8*2)/7)&lt;='بخشنامه وزارت کار'!$E$6,'بخشنامه وزارت کار'!$F$5*0.1+((AA8-(Y8*2)/7-'بخشنامه وزارت کار'!$E$5)*0.15),'بخشنامه وزارت کار'!$F$5*0.1+'بخشنامه وزارت کار'!$F$6*0.15+((AA8-(Y8*2)/7-'بخشنامه وزارت کار'!$E$6)*0.25)))),0)</f>
        <v>0</v>
      </c>
      <c r="AC8" s="41">
        <f>ROUND(IF(AA8-(Y8*2)/7&lt;='بخشنامه وزارت کار'!$E$7,'فروردین 97'!AB8,'بخشنامه وزارت کار'!$F$5*0.1+'بخشنامه وزارت کار'!$F$6*0.15+'بخشنامه وزارت کار'!$F$7*0.25+((AA8-(Y8*2)/7-'بخشنامه وزارت کار'!$E$7)*0.35)),0)</f>
        <v>0</v>
      </c>
      <c r="AD8" s="41">
        <f t="shared" si="11"/>
        <v>0</v>
      </c>
      <c r="AE8" s="42">
        <f t="shared" si="12"/>
        <v>0</v>
      </c>
      <c r="AF8" s="44">
        <f t="shared" si="6"/>
        <v>0</v>
      </c>
    </row>
    <row r="9" spans="1:33" ht="30" customHeight="1" x14ac:dyDescent="0.35">
      <c r="A9" s="54">
        <v>5</v>
      </c>
      <c r="B9" s="51"/>
      <c r="C9" s="51"/>
      <c r="D9" s="52"/>
      <c r="E9" s="52"/>
      <c r="F9" s="52"/>
      <c r="G9" s="52"/>
      <c r="H9" s="52"/>
      <c r="I9" s="52">
        <v>30</v>
      </c>
      <c r="J9" s="52"/>
      <c r="K9" s="52"/>
      <c r="L9" s="52"/>
      <c r="M9" s="41"/>
      <c r="N9" s="41">
        <f t="shared" si="0"/>
        <v>0</v>
      </c>
      <c r="O9" s="41">
        <f>ROUND('بخشنامه وزارت کار'!$B$8*J9,0)</f>
        <v>0</v>
      </c>
      <c r="P9" s="41">
        <f t="shared" si="1"/>
        <v>0</v>
      </c>
      <c r="Q9" s="41">
        <f>ROUND('بخشنامه وزارت کار'!$B$5/I9*J9,0)</f>
        <v>0</v>
      </c>
      <c r="R9" s="41">
        <f>ROUND('بخشنامه وزارت کار'!$B$6/I9*J9,0)</f>
        <v>0</v>
      </c>
      <c r="S9" s="41">
        <f>ROUND((3*'بخشنامه وزارت کار'!$B$4*F9/I9*J9),0)</f>
        <v>0</v>
      </c>
      <c r="T9" s="41">
        <f t="shared" si="2"/>
        <v>0</v>
      </c>
      <c r="U9" s="41">
        <f t="shared" si="7"/>
        <v>0</v>
      </c>
      <c r="V9" s="41">
        <f t="shared" si="3"/>
        <v>0</v>
      </c>
      <c r="W9" s="41">
        <f t="shared" si="8"/>
        <v>0</v>
      </c>
      <c r="X9" s="41">
        <f t="shared" si="9"/>
        <v>0</v>
      </c>
      <c r="Y9" s="41">
        <f>IF(X9&lt;=(7*'بخشنامه وزارت کار'!$B$7)*J9,X9*7%,(7*'بخشنامه وزارت کار'!$B$7*J9)*7%)</f>
        <v>0</v>
      </c>
      <c r="Z9" s="41">
        <f>IF(X9&lt;=(7*'بخشنامه وزارت کار'!$B$7)*J9,X9*23%,(7*'بخشنامه وزارت کار'!$B$7*J9)*23%)</f>
        <v>0</v>
      </c>
      <c r="AA9" s="41">
        <f t="shared" si="10"/>
        <v>0</v>
      </c>
      <c r="AB9" s="41">
        <f>ROUND(IF((AA9-(Y9*2)/7)&lt;='بخشنامه وزارت کار'!$E$4,0,IF((AA9-(Y9*2)/7)&lt;='بخشنامه وزارت کار'!$E$5,((AA9-(Y9*2)/7)-'بخشنامه وزارت کار'!$E$4)*0.1,IF((AA9-(Y9*2)/7)&lt;='بخشنامه وزارت کار'!$E$6,'بخشنامه وزارت کار'!$F$5*0.1+((AA9-(Y9*2)/7-'بخشنامه وزارت کار'!$E$5)*0.15),'بخشنامه وزارت کار'!$F$5*0.1+'بخشنامه وزارت کار'!$F$6*0.15+((AA9-(Y9*2)/7-'بخشنامه وزارت کار'!$E$6)*0.25)))),0)</f>
        <v>0</v>
      </c>
      <c r="AC9" s="41">
        <f>ROUND(IF(AA9-(Y9*2)/7&lt;='بخشنامه وزارت کار'!$E$7,'فروردین 97'!AB9,'بخشنامه وزارت کار'!$F$5*0.1+'بخشنامه وزارت کار'!$F$6*0.15+'بخشنامه وزارت کار'!$F$7*0.25+((AA9-(Y9*2)/7-'بخشنامه وزارت کار'!$E$7)*0.35)),0)</f>
        <v>0</v>
      </c>
      <c r="AD9" s="41">
        <f t="shared" si="11"/>
        <v>0</v>
      </c>
      <c r="AE9" s="42">
        <f t="shared" si="12"/>
        <v>0</v>
      </c>
      <c r="AF9" s="44">
        <f t="shared" si="6"/>
        <v>0</v>
      </c>
    </row>
    <row r="10" spans="1:33" ht="30" customHeight="1" x14ac:dyDescent="0.35">
      <c r="A10" s="54">
        <v>6</v>
      </c>
      <c r="B10" s="51"/>
      <c r="C10" s="51"/>
      <c r="D10" s="52"/>
      <c r="E10" s="52"/>
      <c r="F10" s="52"/>
      <c r="G10" s="52"/>
      <c r="H10" s="52"/>
      <c r="I10" s="52">
        <v>30</v>
      </c>
      <c r="J10" s="52"/>
      <c r="K10" s="52"/>
      <c r="L10" s="52"/>
      <c r="M10" s="41"/>
      <c r="N10" s="41">
        <f t="shared" si="0"/>
        <v>0</v>
      </c>
      <c r="O10" s="41">
        <f>ROUND('بخشنامه وزارت کار'!$B$8*J10,0)</f>
        <v>0</v>
      </c>
      <c r="P10" s="41">
        <f t="shared" si="1"/>
        <v>0</v>
      </c>
      <c r="Q10" s="41">
        <f>ROUND('بخشنامه وزارت کار'!$B$5/I10*J10,0)</f>
        <v>0</v>
      </c>
      <c r="R10" s="41">
        <f>ROUND('بخشنامه وزارت کار'!$B$6/I10*J10,0)</f>
        <v>0</v>
      </c>
      <c r="S10" s="41">
        <f>ROUND((3*'بخشنامه وزارت کار'!$B$4*F10/I10*J10),0)</f>
        <v>0</v>
      </c>
      <c r="T10" s="41">
        <f t="shared" si="2"/>
        <v>0</v>
      </c>
      <c r="U10" s="41">
        <f t="shared" si="7"/>
        <v>0</v>
      </c>
      <c r="V10" s="41">
        <f t="shared" si="3"/>
        <v>0</v>
      </c>
      <c r="W10" s="41">
        <f t="shared" si="8"/>
        <v>0</v>
      </c>
      <c r="X10" s="41">
        <f t="shared" si="9"/>
        <v>0</v>
      </c>
      <c r="Y10" s="41">
        <f>IF(X10&lt;=(7*'بخشنامه وزارت کار'!$B$7)*J10,X10*7%,(7*'بخشنامه وزارت کار'!$B$7*J10)*7%)</f>
        <v>0</v>
      </c>
      <c r="Z10" s="41">
        <f>IF(X10&lt;=(7*'بخشنامه وزارت کار'!$B$7)*J10,X10*23%,(7*'بخشنامه وزارت کار'!$B$7*J10)*23%)</f>
        <v>0</v>
      </c>
      <c r="AA10" s="41">
        <f t="shared" si="10"/>
        <v>0</v>
      </c>
      <c r="AB10" s="41">
        <f>ROUND(IF((AA10-(Y10*2)/7)&lt;='بخشنامه وزارت کار'!$E$4,0,IF((AA10-(Y10*2)/7)&lt;='بخشنامه وزارت کار'!$E$5,((AA10-(Y10*2)/7)-'بخشنامه وزارت کار'!$E$4)*0.1,IF((AA10-(Y10*2)/7)&lt;='بخشنامه وزارت کار'!$E$6,'بخشنامه وزارت کار'!$F$5*0.1+((AA10-(Y10*2)/7-'بخشنامه وزارت کار'!$E$5)*0.15),'بخشنامه وزارت کار'!$F$5*0.1+'بخشنامه وزارت کار'!$F$6*0.15+((AA10-(Y10*2)/7-'بخشنامه وزارت کار'!$E$6)*0.25)))),0)</f>
        <v>0</v>
      </c>
      <c r="AC10" s="41">
        <f>ROUND(IF(AA10-(Y10*2)/7&lt;='بخشنامه وزارت کار'!$E$7,'فروردین 97'!AB10,'بخشنامه وزارت کار'!$F$5*0.1+'بخشنامه وزارت کار'!$F$6*0.15+'بخشنامه وزارت کار'!$F$7*0.25+((AA10-(Y10*2)/7-'بخشنامه وزارت کار'!$E$7)*0.35)),0)</f>
        <v>0</v>
      </c>
      <c r="AD10" s="41">
        <f t="shared" si="11"/>
        <v>0</v>
      </c>
      <c r="AE10" s="42">
        <f t="shared" si="12"/>
        <v>0</v>
      </c>
      <c r="AF10" s="44">
        <f t="shared" si="6"/>
        <v>0</v>
      </c>
    </row>
    <row r="11" spans="1:33" ht="30" customHeight="1" x14ac:dyDescent="0.35">
      <c r="A11" s="54">
        <v>7</v>
      </c>
      <c r="B11" s="51"/>
      <c r="C11" s="51"/>
      <c r="D11" s="52"/>
      <c r="E11" s="52"/>
      <c r="F11" s="52"/>
      <c r="G11" s="52"/>
      <c r="H11" s="52"/>
      <c r="I11" s="52">
        <v>30</v>
      </c>
      <c r="J11" s="52"/>
      <c r="K11" s="52"/>
      <c r="L11" s="52"/>
      <c r="M11" s="41"/>
      <c r="N11" s="41">
        <f t="shared" si="0"/>
        <v>0</v>
      </c>
      <c r="O11" s="41">
        <f>ROUND('بخشنامه وزارت کار'!$B$8*J11,0)</f>
        <v>0</v>
      </c>
      <c r="P11" s="41">
        <f t="shared" si="1"/>
        <v>0</v>
      </c>
      <c r="Q11" s="41">
        <f>ROUND('بخشنامه وزارت کار'!$B$5/I11*J11,0)</f>
        <v>0</v>
      </c>
      <c r="R11" s="41">
        <f>ROUND('بخشنامه وزارت کار'!$B$6/I11*J11,0)</f>
        <v>0</v>
      </c>
      <c r="S11" s="41">
        <f>ROUND((3*'بخشنامه وزارت کار'!$B$4*F11/I11*J11),0)</f>
        <v>0</v>
      </c>
      <c r="T11" s="41">
        <f t="shared" si="2"/>
        <v>0</v>
      </c>
      <c r="U11" s="41">
        <f t="shared" si="7"/>
        <v>0</v>
      </c>
      <c r="V11" s="41">
        <f t="shared" si="3"/>
        <v>0</v>
      </c>
      <c r="W11" s="41">
        <f t="shared" si="8"/>
        <v>0</v>
      </c>
      <c r="X11" s="41">
        <f t="shared" si="9"/>
        <v>0</v>
      </c>
      <c r="Y11" s="41">
        <f>IF(X11&lt;=(7*'بخشنامه وزارت کار'!$B$7)*J11,X11*7%,(7*'بخشنامه وزارت کار'!$B$7*J11)*7%)</f>
        <v>0</v>
      </c>
      <c r="Z11" s="41">
        <f>IF(X11&lt;=(7*'بخشنامه وزارت کار'!$B$7)*J11,X11*23%,(7*'بخشنامه وزارت کار'!$B$7*J11)*23%)</f>
        <v>0</v>
      </c>
      <c r="AA11" s="41">
        <f t="shared" si="10"/>
        <v>0</v>
      </c>
      <c r="AB11" s="41">
        <f>ROUND(IF((AA11-(Y11*2)/7)&lt;='بخشنامه وزارت کار'!$E$4,0,IF((AA11-(Y11*2)/7)&lt;='بخشنامه وزارت کار'!$E$5,((AA11-(Y11*2)/7)-'بخشنامه وزارت کار'!$E$4)*0.1,IF((AA11-(Y11*2)/7)&lt;='بخشنامه وزارت کار'!$E$6,'بخشنامه وزارت کار'!$F$5*0.1+((AA11-(Y11*2)/7-'بخشنامه وزارت کار'!$E$5)*0.15),'بخشنامه وزارت کار'!$F$5*0.1+'بخشنامه وزارت کار'!$F$6*0.15+((AA11-(Y11*2)/7-'بخشنامه وزارت کار'!$E$6)*0.25)))),0)</f>
        <v>0</v>
      </c>
      <c r="AC11" s="41">
        <f>ROUND(IF(AA11-(Y11*2)/7&lt;='بخشنامه وزارت کار'!$E$7,'فروردین 97'!AB11,'بخشنامه وزارت کار'!$F$5*0.1+'بخشنامه وزارت کار'!$F$6*0.15+'بخشنامه وزارت کار'!$F$7*0.25+((AA11-(Y11*2)/7-'بخشنامه وزارت کار'!$E$7)*0.35)),0)</f>
        <v>0</v>
      </c>
      <c r="AD11" s="41">
        <f t="shared" si="11"/>
        <v>0</v>
      </c>
      <c r="AE11" s="42">
        <f t="shared" si="12"/>
        <v>0</v>
      </c>
      <c r="AF11" s="44">
        <f t="shared" si="6"/>
        <v>0</v>
      </c>
    </row>
    <row r="12" spans="1:33" ht="30" customHeight="1" x14ac:dyDescent="0.35">
      <c r="A12" s="54">
        <v>8</v>
      </c>
      <c r="B12" s="51"/>
      <c r="C12" s="51"/>
      <c r="D12" s="52"/>
      <c r="E12" s="52"/>
      <c r="F12" s="52"/>
      <c r="G12" s="52"/>
      <c r="H12" s="52"/>
      <c r="I12" s="52">
        <v>30</v>
      </c>
      <c r="J12" s="52"/>
      <c r="K12" s="52"/>
      <c r="L12" s="52"/>
      <c r="M12" s="41"/>
      <c r="N12" s="41">
        <f t="shared" si="0"/>
        <v>0</v>
      </c>
      <c r="O12" s="41">
        <f>ROUND('بخشنامه وزارت کار'!$B$8*J12,0)</f>
        <v>0</v>
      </c>
      <c r="P12" s="41">
        <f t="shared" si="1"/>
        <v>0</v>
      </c>
      <c r="Q12" s="41">
        <f>ROUND('بخشنامه وزارت کار'!$B$5/I12*J12,0)</f>
        <v>0</v>
      </c>
      <c r="R12" s="41">
        <f>ROUND('بخشنامه وزارت کار'!$B$6/I12*J12,0)</f>
        <v>0</v>
      </c>
      <c r="S12" s="41">
        <f>ROUND((3*'بخشنامه وزارت کار'!$B$4*F12/I12*J12),0)</f>
        <v>0</v>
      </c>
      <c r="T12" s="41">
        <f t="shared" si="2"/>
        <v>0</v>
      </c>
      <c r="U12" s="41">
        <f t="shared" si="7"/>
        <v>0</v>
      </c>
      <c r="V12" s="41">
        <f t="shared" si="3"/>
        <v>0</v>
      </c>
      <c r="W12" s="41">
        <f t="shared" si="8"/>
        <v>0</v>
      </c>
      <c r="X12" s="41">
        <f t="shared" si="9"/>
        <v>0</v>
      </c>
      <c r="Y12" s="41">
        <f>IF(X12&lt;=(7*'بخشنامه وزارت کار'!$B$7)*J12,X12*7%,(7*'بخشنامه وزارت کار'!$B$7*J12)*7%)</f>
        <v>0</v>
      </c>
      <c r="Z12" s="41">
        <f>IF(X12&lt;=(7*'بخشنامه وزارت کار'!$B$7)*J12,X12*23%,(7*'بخشنامه وزارت کار'!$B$7*J12)*23%)</f>
        <v>0</v>
      </c>
      <c r="AA12" s="41">
        <f t="shared" si="10"/>
        <v>0</v>
      </c>
      <c r="AB12" s="41">
        <f>ROUND(IF((AA12-(Y12*2)/7)&lt;='بخشنامه وزارت کار'!$E$4,0,IF((AA12-(Y12*2)/7)&lt;='بخشنامه وزارت کار'!$E$5,((AA12-(Y12*2)/7)-'بخشنامه وزارت کار'!$E$4)*0.1,IF((AA12-(Y12*2)/7)&lt;='بخشنامه وزارت کار'!$E$6,'بخشنامه وزارت کار'!$F$5*0.1+((AA12-(Y12*2)/7-'بخشنامه وزارت کار'!$E$5)*0.15),'بخشنامه وزارت کار'!$F$5*0.1+'بخشنامه وزارت کار'!$F$6*0.15+((AA12-(Y12*2)/7-'بخشنامه وزارت کار'!$E$6)*0.25)))),0)</f>
        <v>0</v>
      </c>
      <c r="AC12" s="41">
        <f>ROUND(IF(AA12-(Y12*2)/7&lt;='بخشنامه وزارت کار'!$E$7,'فروردین 97'!AB12,'بخشنامه وزارت کار'!$F$5*0.1+'بخشنامه وزارت کار'!$F$6*0.15+'بخشنامه وزارت کار'!$F$7*0.25+((AA12-(Y12*2)/7-'بخشنامه وزارت کار'!$E$7)*0.35)),0)</f>
        <v>0</v>
      </c>
      <c r="AD12" s="41">
        <f t="shared" si="11"/>
        <v>0</v>
      </c>
      <c r="AE12" s="42">
        <f t="shared" si="12"/>
        <v>0</v>
      </c>
      <c r="AF12" s="44">
        <f t="shared" si="6"/>
        <v>0</v>
      </c>
    </row>
    <row r="13" spans="1:33" ht="30" customHeight="1" x14ac:dyDescent="0.35">
      <c r="A13" s="54">
        <v>9</v>
      </c>
      <c r="B13" s="51"/>
      <c r="C13" s="51"/>
      <c r="D13" s="52"/>
      <c r="E13" s="52"/>
      <c r="F13" s="52"/>
      <c r="G13" s="52"/>
      <c r="H13" s="52"/>
      <c r="I13" s="52">
        <v>30</v>
      </c>
      <c r="J13" s="52"/>
      <c r="K13" s="52"/>
      <c r="L13" s="52"/>
      <c r="M13" s="41"/>
      <c r="N13" s="41">
        <f t="shared" si="0"/>
        <v>0</v>
      </c>
      <c r="O13" s="41">
        <f>ROUND('بخشنامه وزارت کار'!$B$8*J13,0)</f>
        <v>0</v>
      </c>
      <c r="P13" s="41">
        <f t="shared" si="1"/>
        <v>0</v>
      </c>
      <c r="Q13" s="41">
        <f>ROUND('بخشنامه وزارت کار'!$B$5/I13*J13,0)</f>
        <v>0</v>
      </c>
      <c r="R13" s="41">
        <f>ROUND('بخشنامه وزارت کار'!$B$6/I13*J13,0)</f>
        <v>0</v>
      </c>
      <c r="S13" s="41">
        <f>ROUND((3*'بخشنامه وزارت کار'!$B$4*F13/I13*J13),0)</f>
        <v>0</v>
      </c>
      <c r="T13" s="41">
        <f t="shared" si="2"/>
        <v>0</v>
      </c>
      <c r="U13" s="41">
        <f t="shared" si="7"/>
        <v>0</v>
      </c>
      <c r="V13" s="41">
        <f t="shared" si="3"/>
        <v>0</v>
      </c>
      <c r="W13" s="41">
        <f t="shared" si="8"/>
        <v>0</v>
      </c>
      <c r="X13" s="41">
        <f t="shared" si="9"/>
        <v>0</v>
      </c>
      <c r="Y13" s="41">
        <f>IF(X13&lt;=(7*'بخشنامه وزارت کار'!$B$7)*J13,X13*7%,(7*'بخشنامه وزارت کار'!$B$7*J13)*7%)</f>
        <v>0</v>
      </c>
      <c r="Z13" s="41">
        <f>IF(X13&lt;=(7*'بخشنامه وزارت کار'!$B$7)*J13,X13*23%,(7*'بخشنامه وزارت کار'!$B$7*J13)*23%)</f>
        <v>0</v>
      </c>
      <c r="AA13" s="41">
        <f t="shared" si="10"/>
        <v>0</v>
      </c>
      <c r="AB13" s="41">
        <f>ROUND(IF((AA13-(Y13*2)/7)&lt;='بخشنامه وزارت کار'!$E$4,0,IF((AA13-(Y13*2)/7)&lt;='بخشنامه وزارت کار'!$E$5,((AA13-(Y13*2)/7)-'بخشنامه وزارت کار'!$E$4)*0.1,IF((AA13-(Y13*2)/7)&lt;='بخشنامه وزارت کار'!$E$6,'بخشنامه وزارت کار'!$F$5*0.1+((AA13-(Y13*2)/7-'بخشنامه وزارت کار'!$E$5)*0.15),'بخشنامه وزارت کار'!$F$5*0.1+'بخشنامه وزارت کار'!$F$6*0.15+((AA13-(Y13*2)/7-'بخشنامه وزارت کار'!$E$6)*0.25)))),0)</f>
        <v>0</v>
      </c>
      <c r="AC13" s="41">
        <f>ROUND(IF(AA13-(Y13*2)/7&lt;='بخشنامه وزارت کار'!$E$7,'فروردین 97'!AB13,'بخشنامه وزارت کار'!$F$5*0.1+'بخشنامه وزارت کار'!$F$6*0.15+'بخشنامه وزارت کار'!$F$7*0.25+((AA13-(Y13*2)/7-'بخشنامه وزارت کار'!$E$7)*0.35)),0)</f>
        <v>0</v>
      </c>
      <c r="AD13" s="41">
        <f t="shared" si="11"/>
        <v>0</v>
      </c>
      <c r="AE13" s="42">
        <f t="shared" si="12"/>
        <v>0</v>
      </c>
      <c r="AF13" s="44">
        <f t="shared" si="6"/>
        <v>0</v>
      </c>
    </row>
    <row r="14" spans="1:33" ht="30" customHeight="1" x14ac:dyDescent="0.35">
      <c r="A14" s="54">
        <v>10</v>
      </c>
      <c r="B14" s="51"/>
      <c r="C14" s="51"/>
      <c r="D14" s="52"/>
      <c r="E14" s="52"/>
      <c r="F14" s="52"/>
      <c r="G14" s="52"/>
      <c r="H14" s="52"/>
      <c r="I14" s="52">
        <v>30</v>
      </c>
      <c r="J14" s="52"/>
      <c r="K14" s="52"/>
      <c r="L14" s="52"/>
      <c r="M14" s="41"/>
      <c r="N14" s="41">
        <f t="shared" si="0"/>
        <v>0</v>
      </c>
      <c r="O14" s="41">
        <f>ROUND('بخشنامه وزارت کار'!$B$8*J14,0)</f>
        <v>0</v>
      </c>
      <c r="P14" s="41">
        <f t="shared" si="1"/>
        <v>0</v>
      </c>
      <c r="Q14" s="41">
        <f>ROUND('بخشنامه وزارت کار'!$B$5/I14*J14,0)</f>
        <v>0</v>
      </c>
      <c r="R14" s="41">
        <f>ROUND('بخشنامه وزارت کار'!$B$6/I14*J14,0)</f>
        <v>0</v>
      </c>
      <c r="S14" s="41">
        <f>ROUND((3*'بخشنامه وزارت کار'!$B$4*F14/I14*J14),0)</f>
        <v>0</v>
      </c>
      <c r="T14" s="41">
        <f t="shared" si="2"/>
        <v>0</v>
      </c>
      <c r="U14" s="41">
        <f t="shared" si="7"/>
        <v>0</v>
      </c>
      <c r="V14" s="41">
        <f t="shared" si="3"/>
        <v>0</v>
      </c>
      <c r="W14" s="41">
        <f t="shared" si="8"/>
        <v>0</v>
      </c>
      <c r="X14" s="41">
        <f t="shared" si="9"/>
        <v>0</v>
      </c>
      <c r="Y14" s="41">
        <f>IF(X14&lt;=(7*'بخشنامه وزارت کار'!$B$7)*J14,X14*7%,(7*'بخشنامه وزارت کار'!$B$7*J14)*7%)</f>
        <v>0</v>
      </c>
      <c r="Z14" s="41">
        <f>IF(X14&lt;=(7*'بخشنامه وزارت کار'!$B$7)*J14,X14*23%,(7*'بخشنامه وزارت کار'!$B$7*J14)*23%)</f>
        <v>0</v>
      </c>
      <c r="AA14" s="41">
        <f t="shared" si="10"/>
        <v>0</v>
      </c>
      <c r="AB14" s="41">
        <f>ROUND(IF((AA14-(Y14*2)/7)&lt;='بخشنامه وزارت کار'!$E$4,0,IF((AA14-(Y14*2)/7)&lt;='بخشنامه وزارت کار'!$E$5,((AA14-(Y14*2)/7)-'بخشنامه وزارت کار'!$E$4)*0.1,IF((AA14-(Y14*2)/7)&lt;='بخشنامه وزارت کار'!$E$6,'بخشنامه وزارت کار'!$F$5*0.1+((AA14-(Y14*2)/7-'بخشنامه وزارت کار'!$E$5)*0.15),'بخشنامه وزارت کار'!$F$5*0.1+'بخشنامه وزارت کار'!$F$6*0.15+((AA14-(Y14*2)/7-'بخشنامه وزارت کار'!$E$6)*0.25)))),0)</f>
        <v>0</v>
      </c>
      <c r="AC14" s="41">
        <f>ROUND(IF(AA14-(Y14*2)/7&lt;='بخشنامه وزارت کار'!$E$7,'فروردین 97'!AB14,'بخشنامه وزارت کار'!$F$5*0.1+'بخشنامه وزارت کار'!$F$6*0.15+'بخشنامه وزارت کار'!$F$7*0.25+((AA14-(Y14*2)/7-'بخشنامه وزارت کار'!$E$7)*0.35)),0)</f>
        <v>0</v>
      </c>
      <c r="AD14" s="41">
        <f t="shared" si="11"/>
        <v>0</v>
      </c>
      <c r="AE14" s="42">
        <f t="shared" si="12"/>
        <v>0</v>
      </c>
      <c r="AF14" s="44">
        <f t="shared" si="6"/>
        <v>0</v>
      </c>
    </row>
    <row r="15" spans="1:33" s="2" customFormat="1" ht="30" customHeight="1" x14ac:dyDescent="0.35">
      <c r="A15" s="54">
        <v>11</v>
      </c>
      <c r="B15" s="51"/>
      <c r="C15" s="51"/>
      <c r="D15" s="52"/>
      <c r="E15" s="52"/>
      <c r="F15" s="52"/>
      <c r="G15" s="52"/>
      <c r="H15" s="52"/>
      <c r="I15" s="52">
        <v>30</v>
      </c>
      <c r="J15" s="52"/>
      <c r="K15" s="52"/>
      <c r="L15" s="52"/>
      <c r="M15" s="41"/>
      <c r="N15" s="41">
        <f t="shared" si="0"/>
        <v>0</v>
      </c>
      <c r="O15" s="41">
        <f>ROUND('بخشنامه وزارت کار'!$B$8*J15,0)</f>
        <v>0</v>
      </c>
      <c r="P15" s="41">
        <f t="shared" si="1"/>
        <v>0</v>
      </c>
      <c r="Q15" s="41">
        <f>ROUND('بخشنامه وزارت کار'!$B$5/I15*J15,0)</f>
        <v>0</v>
      </c>
      <c r="R15" s="41">
        <f>ROUND('بخشنامه وزارت کار'!$B$6/I15*J15,0)</f>
        <v>0</v>
      </c>
      <c r="S15" s="41">
        <f>ROUND((3*'بخشنامه وزارت کار'!$B$4*F15/I15*J15),0)</f>
        <v>0</v>
      </c>
      <c r="T15" s="41">
        <f t="shared" si="2"/>
        <v>0</v>
      </c>
      <c r="U15" s="41">
        <f t="shared" si="7"/>
        <v>0</v>
      </c>
      <c r="V15" s="41">
        <f t="shared" si="3"/>
        <v>0</v>
      </c>
      <c r="W15" s="41">
        <f t="shared" si="8"/>
        <v>0</v>
      </c>
      <c r="X15" s="41">
        <f t="shared" si="9"/>
        <v>0</v>
      </c>
      <c r="Y15" s="41">
        <f>IF(X15&lt;=(7*'بخشنامه وزارت کار'!$B$7)*J15,X15*7%,(7*'بخشنامه وزارت کار'!$B$7*J15)*7%)</f>
        <v>0</v>
      </c>
      <c r="Z15" s="41">
        <f>IF(X15&lt;=(7*'بخشنامه وزارت کار'!$B$7)*J15,X15*23%,(7*'بخشنامه وزارت کار'!$B$7*J15)*23%)</f>
        <v>0</v>
      </c>
      <c r="AA15" s="41">
        <f t="shared" si="10"/>
        <v>0</v>
      </c>
      <c r="AB15" s="41">
        <f>ROUND(IF((AA15-(Y15*2)/7)&lt;='بخشنامه وزارت کار'!$E$4,0,IF((AA15-(Y15*2)/7)&lt;='بخشنامه وزارت کار'!$E$5,((AA15-(Y15*2)/7)-'بخشنامه وزارت کار'!$E$4)*0.1,IF((AA15-(Y15*2)/7)&lt;='بخشنامه وزارت کار'!$E$6,'بخشنامه وزارت کار'!$F$5*0.1+((AA15-(Y15*2)/7-'بخشنامه وزارت کار'!$E$5)*0.15),'بخشنامه وزارت کار'!$F$5*0.1+'بخشنامه وزارت کار'!$F$6*0.15+((AA15-(Y15*2)/7-'بخشنامه وزارت کار'!$E$6)*0.25)))),0)</f>
        <v>0</v>
      </c>
      <c r="AC15" s="41">
        <f>ROUND(IF(AA15-(Y15*2)/7&lt;='بخشنامه وزارت کار'!$E$7,'فروردین 97'!AB15,'بخشنامه وزارت کار'!$F$5*0.1+'بخشنامه وزارت کار'!$F$6*0.15+'بخشنامه وزارت کار'!$F$7*0.25+((AA15-(Y15*2)/7-'بخشنامه وزارت کار'!$E$7)*0.35)),0)</f>
        <v>0</v>
      </c>
      <c r="AD15" s="41">
        <f t="shared" si="11"/>
        <v>0</v>
      </c>
      <c r="AE15" s="42">
        <f t="shared" si="12"/>
        <v>0</v>
      </c>
      <c r="AF15" s="44">
        <f t="shared" si="6"/>
        <v>0</v>
      </c>
    </row>
    <row r="16" spans="1:33" s="2" customFormat="1" ht="30" customHeight="1" x14ac:dyDescent="0.35">
      <c r="A16" s="54">
        <v>12</v>
      </c>
      <c r="B16" s="51"/>
      <c r="C16" s="51"/>
      <c r="D16" s="52"/>
      <c r="E16" s="52"/>
      <c r="F16" s="52"/>
      <c r="G16" s="52"/>
      <c r="H16" s="52"/>
      <c r="I16" s="52">
        <v>30</v>
      </c>
      <c r="J16" s="52"/>
      <c r="K16" s="52"/>
      <c r="L16" s="52"/>
      <c r="M16" s="41"/>
      <c r="N16" s="41">
        <f t="shared" si="0"/>
        <v>0</v>
      </c>
      <c r="O16" s="41">
        <f>ROUND('بخشنامه وزارت کار'!$B$8*J16,0)</f>
        <v>0</v>
      </c>
      <c r="P16" s="41">
        <f t="shared" si="1"/>
        <v>0</v>
      </c>
      <c r="Q16" s="41">
        <f>ROUND('بخشنامه وزارت کار'!$B$5/I16*J16,0)</f>
        <v>0</v>
      </c>
      <c r="R16" s="41">
        <f>ROUND('بخشنامه وزارت کار'!$B$6/I16*J16,0)</f>
        <v>0</v>
      </c>
      <c r="S16" s="41">
        <f>ROUND((3*'بخشنامه وزارت کار'!$B$4*F16/I16*J16),0)</f>
        <v>0</v>
      </c>
      <c r="T16" s="41">
        <f t="shared" si="2"/>
        <v>0</v>
      </c>
      <c r="U16" s="41">
        <f t="shared" si="7"/>
        <v>0</v>
      </c>
      <c r="V16" s="41">
        <f t="shared" si="3"/>
        <v>0</v>
      </c>
      <c r="W16" s="41">
        <f t="shared" si="8"/>
        <v>0</v>
      </c>
      <c r="X16" s="41">
        <f t="shared" si="9"/>
        <v>0</v>
      </c>
      <c r="Y16" s="41">
        <f>IF(X16&lt;=(7*'بخشنامه وزارت کار'!$B$7)*J16,X16*7%,(7*'بخشنامه وزارت کار'!$B$7*J16)*7%)</f>
        <v>0</v>
      </c>
      <c r="Z16" s="41">
        <f>IF(X16&lt;=(7*'بخشنامه وزارت کار'!$B$7)*J16,X16*23%,(7*'بخشنامه وزارت کار'!$B$7*J16)*23%)</f>
        <v>0</v>
      </c>
      <c r="AA16" s="41">
        <f t="shared" si="10"/>
        <v>0</v>
      </c>
      <c r="AB16" s="41">
        <f>ROUND(IF((AA16-(Y16*2)/7)&lt;='بخشنامه وزارت کار'!$E$4,0,IF((AA16-(Y16*2)/7)&lt;='بخشنامه وزارت کار'!$E$5,((AA16-(Y16*2)/7)-'بخشنامه وزارت کار'!$E$4)*0.1,IF((AA16-(Y16*2)/7)&lt;='بخشنامه وزارت کار'!$E$6,'بخشنامه وزارت کار'!$F$5*0.1+((AA16-(Y16*2)/7-'بخشنامه وزارت کار'!$E$5)*0.15),'بخشنامه وزارت کار'!$F$5*0.1+'بخشنامه وزارت کار'!$F$6*0.15+((AA16-(Y16*2)/7-'بخشنامه وزارت کار'!$E$6)*0.25)))),0)</f>
        <v>0</v>
      </c>
      <c r="AC16" s="41">
        <f>ROUND(IF(AA16-(Y16*2)/7&lt;='بخشنامه وزارت کار'!$E$7,'فروردین 97'!AB16,'بخشنامه وزارت کار'!$F$5*0.1+'بخشنامه وزارت کار'!$F$6*0.15+'بخشنامه وزارت کار'!$F$7*0.25+((AA16-(Y16*2)/7-'بخشنامه وزارت کار'!$E$7)*0.35)),0)</f>
        <v>0</v>
      </c>
      <c r="AD16" s="41">
        <f t="shared" si="11"/>
        <v>0</v>
      </c>
      <c r="AE16" s="42">
        <f t="shared" si="12"/>
        <v>0</v>
      </c>
      <c r="AF16" s="44">
        <f t="shared" si="6"/>
        <v>0</v>
      </c>
    </row>
    <row r="17" spans="1:34" s="2" customFormat="1" ht="30" customHeight="1" thickBot="1" x14ac:dyDescent="0.4">
      <c r="A17" s="54">
        <v>13</v>
      </c>
      <c r="B17" s="51"/>
      <c r="C17" s="51"/>
      <c r="D17" s="52"/>
      <c r="E17" s="52"/>
      <c r="F17" s="52"/>
      <c r="G17" s="52"/>
      <c r="H17" s="52"/>
      <c r="I17" s="52">
        <v>30</v>
      </c>
      <c r="J17" s="52"/>
      <c r="K17" s="52"/>
      <c r="L17" s="52"/>
      <c r="M17" s="41"/>
      <c r="N17" s="41">
        <f t="shared" si="0"/>
        <v>0</v>
      </c>
      <c r="O17" s="41">
        <f>ROUND('بخشنامه وزارت کار'!$B$8*J17,0)</f>
        <v>0</v>
      </c>
      <c r="P17" s="41">
        <f t="shared" si="1"/>
        <v>0</v>
      </c>
      <c r="Q17" s="41">
        <f>ROUND('بخشنامه وزارت کار'!$B$5/I17*J17,0)</f>
        <v>0</v>
      </c>
      <c r="R17" s="41">
        <f>ROUND('بخشنامه وزارت کار'!$B$6/I17*J17,0)</f>
        <v>0</v>
      </c>
      <c r="S17" s="41">
        <f>ROUND((3*'بخشنامه وزارت کار'!$B$4*F17/I17*J17),0)</f>
        <v>0</v>
      </c>
      <c r="T17" s="41">
        <f t="shared" si="2"/>
        <v>0</v>
      </c>
      <c r="U17" s="41">
        <f t="shared" si="7"/>
        <v>0</v>
      </c>
      <c r="V17" s="41">
        <f t="shared" si="3"/>
        <v>0</v>
      </c>
      <c r="W17" s="41">
        <f t="shared" si="8"/>
        <v>0</v>
      </c>
      <c r="X17" s="41">
        <f t="shared" si="9"/>
        <v>0</v>
      </c>
      <c r="Y17" s="41">
        <f>IF(X17&lt;=(7*'بخشنامه وزارت کار'!$B$7)*J17,X17*7%,(7*'بخشنامه وزارت کار'!$B$7*J17)*7%)</f>
        <v>0</v>
      </c>
      <c r="Z17" s="41">
        <f>IF(X17&lt;=(7*'بخشنامه وزارت کار'!$B$7)*J17,X17*23%,(7*'بخشنامه وزارت کار'!$B$7*J17)*23%)</f>
        <v>0</v>
      </c>
      <c r="AA17" s="41">
        <f t="shared" si="10"/>
        <v>0</v>
      </c>
      <c r="AB17" s="41">
        <f>ROUND(IF((AA17-(Y17*2)/7)&lt;='بخشنامه وزارت کار'!$E$4,0,IF((AA17-(Y17*2)/7)&lt;='بخشنامه وزارت کار'!$E$5,((AA17-(Y17*2)/7)-'بخشنامه وزارت کار'!$E$4)*0.1,IF((AA17-(Y17*2)/7)&lt;='بخشنامه وزارت کار'!$E$6,'بخشنامه وزارت کار'!$F$5*0.1+((AA17-(Y17*2)/7-'بخشنامه وزارت کار'!$E$5)*0.15),'بخشنامه وزارت کار'!$F$5*0.1+'بخشنامه وزارت کار'!$F$6*0.15+((AA17-(Y17*2)/7-'بخشنامه وزارت کار'!$E$6)*0.25)))),0)</f>
        <v>0</v>
      </c>
      <c r="AC17" s="41">
        <f>ROUND(IF(AA17-(Y17*2)/7&lt;='بخشنامه وزارت کار'!$E$7,'فروردین 97'!AB17,'بخشنامه وزارت کار'!$F$5*0.1+'بخشنامه وزارت کار'!$F$6*0.15+'بخشنامه وزارت کار'!$F$7*0.25+((AA17-(Y17*2)/7-'بخشنامه وزارت کار'!$E$7)*0.35)),0)</f>
        <v>0</v>
      </c>
      <c r="AD17" s="41">
        <f t="shared" si="11"/>
        <v>0</v>
      </c>
      <c r="AE17" s="42">
        <f t="shared" si="12"/>
        <v>0</v>
      </c>
      <c r="AF17" s="44">
        <f t="shared" si="6"/>
        <v>0</v>
      </c>
    </row>
    <row r="18" spans="1:34" s="15" customFormat="1" ht="30" customHeight="1" thickTop="1" thickBot="1" x14ac:dyDescent="0.35">
      <c r="A18" s="62" t="s">
        <v>16</v>
      </c>
      <c r="B18" s="63"/>
      <c r="C18" s="63"/>
      <c r="D18" s="63"/>
      <c r="E18" s="64"/>
      <c r="F18" s="10">
        <f t="shared" ref="F18:H18" si="13">SUM(F5:F17)</f>
        <v>2</v>
      </c>
      <c r="G18" s="10"/>
      <c r="H18" s="10">
        <f t="shared" si="13"/>
        <v>1</v>
      </c>
      <c r="I18" s="11"/>
      <c r="J18" s="12"/>
      <c r="K18" s="13"/>
      <c r="L18" s="13"/>
      <c r="M18" s="14">
        <f t="shared" ref="M18:AF18" si="14">SUM(M5:M17)</f>
        <v>4500000</v>
      </c>
      <c r="N18" s="14">
        <f t="shared" si="14"/>
        <v>135000000</v>
      </c>
      <c r="O18" s="14">
        <f t="shared" si="14"/>
        <v>510000</v>
      </c>
      <c r="P18" s="14">
        <f t="shared" si="14"/>
        <v>135510000</v>
      </c>
      <c r="Q18" s="14">
        <f t="shared" si="14"/>
        <v>400000</v>
      </c>
      <c r="R18" s="14">
        <f t="shared" si="14"/>
        <v>1100000</v>
      </c>
      <c r="S18" s="14">
        <f t="shared" si="14"/>
        <v>2222535</v>
      </c>
      <c r="T18" s="14">
        <f t="shared" si="14"/>
        <v>17189632</v>
      </c>
      <c r="U18" s="14">
        <f t="shared" si="14"/>
        <v>16575716</v>
      </c>
      <c r="V18" s="14">
        <f t="shared" si="14"/>
        <v>4500000</v>
      </c>
      <c r="W18" s="14">
        <f t="shared" si="14"/>
        <v>177497883</v>
      </c>
      <c r="X18" s="14">
        <f t="shared" si="14"/>
        <v>170775348</v>
      </c>
      <c r="Y18" s="14">
        <f t="shared" si="14"/>
        <v>11954274.360000001</v>
      </c>
      <c r="Z18" s="14">
        <f t="shared" si="14"/>
        <v>39278330.039999999</v>
      </c>
      <c r="AA18" s="14">
        <f t="shared" si="14"/>
        <v>172997883</v>
      </c>
      <c r="AB18" s="14">
        <f t="shared" si="14"/>
        <v>23995594</v>
      </c>
      <c r="AC18" s="14">
        <f t="shared" si="14"/>
        <v>24853832</v>
      </c>
      <c r="AD18" s="14">
        <f t="shared" si="14"/>
        <v>51232604.399999999</v>
      </c>
      <c r="AE18" s="14">
        <f t="shared" si="14"/>
        <v>36808106.359999999</v>
      </c>
      <c r="AF18" s="43">
        <f t="shared" si="14"/>
        <v>140689776.63999999</v>
      </c>
    </row>
    <row r="19" spans="1:34" s="21" customFormat="1" ht="21.75" thickTop="1" x14ac:dyDescent="0.35">
      <c r="A19" s="16"/>
      <c r="B19" s="16"/>
      <c r="C19" s="16"/>
      <c r="D19" s="16"/>
      <c r="E19" s="16"/>
      <c r="F19" s="16"/>
      <c r="G19" s="16"/>
      <c r="H19" s="16"/>
      <c r="I19" s="17"/>
      <c r="J19" s="16"/>
      <c r="K19" s="16"/>
      <c r="L19" s="16"/>
      <c r="M19" s="16"/>
      <c r="N19" s="16"/>
      <c r="O19" s="8"/>
      <c r="P19" s="8"/>
      <c r="Q19" s="16"/>
      <c r="R19" s="16"/>
      <c r="S19" s="16"/>
      <c r="T19" s="16"/>
      <c r="U19" s="16"/>
      <c r="V19" s="16"/>
      <c r="W19" s="16"/>
      <c r="X19" s="18" t="s">
        <v>30</v>
      </c>
      <c r="Y19" s="19">
        <f>X18*20%</f>
        <v>34155069.600000001</v>
      </c>
      <c r="Z19" s="16"/>
      <c r="AA19" s="16"/>
      <c r="AB19" s="16"/>
      <c r="AC19" s="20"/>
      <c r="AD19" s="16"/>
      <c r="AE19" s="16"/>
      <c r="AF19" s="16"/>
    </row>
    <row r="20" spans="1:34" s="21" customFormat="1" x14ac:dyDescent="0.35">
      <c r="A20" s="16"/>
      <c r="B20" s="16"/>
      <c r="C20" s="16"/>
      <c r="D20" s="16"/>
      <c r="E20" s="16"/>
      <c r="F20" s="16"/>
      <c r="G20" s="16"/>
      <c r="H20" s="16"/>
      <c r="I20" s="8"/>
      <c r="J20" s="16"/>
      <c r="K20" s="16"/>
      <c r="L20" s="16"/>
      <c r="M20" s="16"/>
      <c r="N20" s="16"/>
      <c r="O20" s="8"/>
      <c r="P20" s="8"/>
      <c r="Q20" s="16"/>
      <c r="R20" s="16"/>
      <c r="S20" s="16"/>
      <c r="T20" s="16"/>
      <c r="U20" s="16"/>
      <c r="V20" s="16"/>
      <c r="W20" s="16"/>
      <c r="X20" s="22" t="s">
        <v>29</v>
      </c>
      <c r="Y20" s="23">
        <f>X18*3%</f>
        <v>5123260.4399999995</v>
      </c>
      <c r="Z20" s="65"/>
      <c r="AA20" s="65"/>
      <c r="AB20" s="24">
        <f>AB18+Y21</f>
        <v>75228198.400000006</v>
      </c>
      <c r="AC20" s="8"/>
      <c r="AD20" s="16"/>
      <c r="AE20" s="16"/>
      <c r="AF20" s="16"/>
      <c r="AH20" s="16"/>
    </row>
    <row r="21" spans="1:34" s="21" customFormat="1" ht="21" customHeight="1" x14ac:dyDescent="0.3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25">
        <v>0.3</v>
      </c>
      <c r="Y21" s="23">
        <f>SUM(Y18:Y20)</f>
        <v>51232604.399999999</v>
      </c>
      <c r="Z21" s="16"/>
      <c r="AA21" s="16"/>
      <c r="AB21" s="16"/>
      <c r="AC21" s="16"/>
      <c r="AD21" s="16"/>
      <c r="AE21" s="16"/>
      <c r="AF21" s="16"/>
      <c r="AH21" s="16"/>
    </row>
    <row r="22" spans="1:34" s="2" customForma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4"/>
      <c r="AB22" s="1"/>
      <c r="AC22" s="1"/>
      <c r="AD22" s="1"/>
      <c r="AE22" s="1"/>
      <c r="AF22" s="1"/>
      <c r="AH22" s="1"/>
    </row>
    <row r="23" spans="1:34" s="2" customForma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3"/>
      <c r="Z23" s="3"/>
      <c r="AA23" s="1"/>
      <c r="AB23" s="1"/>
      <c r="AC23" s="1"/>
      <c r="AD23" s="1"/>
      <c r="AE23" s="1"/>
      <c r="AF23" s="1"/>
      <c r="AH23" s="1"/>
    </row>
    <row r="47" spans="7:7" x14ac:dyDescent="0.35">
      <c r="G47"/>
    </row>
  </sheetData>
  <mergeCells count="9">
    <mergeCell ref="A2:L3"/>
    <mergeCell ref="D1:AF1"/>
    <mergeCell ref="A1:C1"/>
    <mergeCell ref="A18:E18"/>
    <mergeCell ref="Z20:AA20"/>
    <mergeCell ref="M2:W2"/>
    <mergeCell ref="X2:AE3"/>
    <mergeCell ref="AF2:AF3"/>
    <mergeCell ref="M3:N3"/>
  </mergeCells>
  <printOptions horizontalCentered="1" verticalCentered="1"/>
  <pageMargins left="0" right="0" top="0.74803149606299213" bottom="0" header="0.31496062992125984" footer="0"/>
  <pageSetup paperSize="9" scale="44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6"/>
  <sheetViews>
    <sheetView rightToLeft="1" workbookViewId="0">
      <selection activeCell="E7" sqref="E7"/>
    </sheetView>
  </sheetViews>
  <sheetFormatPr defaultRowHeight="15" x14ac:dyDescent="0.25"/>
  <cols>
    <col min="1" max="1" width="26.7109375" bestFit="1" customWidth="1"/>
    <col min="2" max="2" width="12.5703125" style="5" bestFit="1" customWidth="1"/>
    <col min="4" max="4" width="45.85546875" bestFit="1" customWidth="1"/>
    <col min="5" max="5" width="17.140625" bestFit="1" customWidth="1"/>
    <col min="6" max="6" width="12.5703125" hidden="1" customWidth="1"/>
    <col min="7" max="7" width="19.28515625" bestFit="1" customWidth="1"/>
    <col min="8" max="8" width="22.140625" bestFit="1" customWidth="1"/>
    <col min="9" max="10" width="11.5703125" bestFit="1" customWidth="1"/>
    <col min="11" max="11" width="14.5703125" bestFit="1" customWidth="1"/>
  </cols>
  <sheetData>
    <row r="2" spans="1:11" ht="15.75" thickBot="1" x14ac:dyDescent="0.3"/>
    <row r="3" spans="1:11" s="37" customFormat="1" ht="27.75" customHeight="1" x14ac:dyDescent="0.25">
      <c r="A3" s="79" t="s">
        <v>31</v>
      </c>
      <c r="B3" s="79"/>
      <c r="D3" s="38" t="s">
        <v>2</v>
      </c>
      <c r="E3" s="39" t="s">
        <v>54</v>
      </c>
      <c r="F3" s="39" t="s">
        <v>49</v>
      </c>
      <c r="G3" s="40" t="s">
        <v>53</v>
      </c>
      <c r="H3" s="27" t="s">
        <v>52</v>
      </c>
    </row>
    <row r="4" spans="1:11" ht="27.75" customHeight="1" x14ac:dyDescent="0.25">
      <c r="A4" t="s">
        <v>34</v>
      </c>
      <c r="B4" s="5">
        <f>(11112675)/30</f>
        <v>370422.5</v>
      </c>
      <c r="D4" s="28" t="s">
        <v>55</v>
      </c>
      <c r="E4" s="29">
        <v>23000000</v>
      </c>
      <c r="F4" s="29">
        <f>E4</f>
        <v>23000000</v>
      </c>
      <c r="G4" s="35">
        <f>E4*12</f>
        <v>276000000</v>
      </c>
      <c r="H4" s="30">
        <v>0</v>
      </c>
      <c r="K4" s="5"/>
    </row>
    <row r="5" spans="1:11" ht="27.75" customHeight="1" x14ac:dyDescent="0.25">
      <c r="A5" t="s">
        <v>32</v>
      </c>
      <c r="B5" s="5">
        <v>400000</v>
      </c>
      <c r="D5" s="28" t="s">
        <v>56</v>
      </c>
      <c r="E5" s="31">
        <f>E4*3+E4</f>
        <v>92000000</v>
      </c>
      <c r="F5" s="31">
        <f>E5-E4</f>
        <v>69000000</v>
      </c>
      <c r="G5" s="35">
        <f t="shared" ref="G5:G7" si="0">E5*12</f>
        <v>1104000000</v>
      </c>
      <c r="H5" s="30">
        <v>0.1</v>
      </c>
      <c r="J5" s="9"/>
      <c r="K5" s="5"/>
    </row>
    <row r="6" spans="1:11" ht="27.75" customHeight="1" x14ac:dyDescent="0.25">
      <c r="A6" t="s">
        <v>33</v>
      </c>
      <c r="B6" s="5">
        <v>1100000</v>
      </c>
      <c r="D6" s="28" t="s">
        <v>57</v>
      </c>
      <c r="E6" s="31">
        <f>E5+E4</f>
        <v>115000000</v>
      </c>
      <c r="F6" s="31">
        <f>E6-E5</f>
        <v>23000000</v>
      </c>
      <c r="G6" s="35">
        <f t="shared" si="0"/>
        <v>1380000000</v>
      </c>
      <c r="H6" s="30">
        <v>0.15</v>
      </c>
      <c r="K6" s="5"/>
    </row>
    <row r="7" spans="1:11" ht="27.75" customHeight="1" x14ac:dyDescent="0.25">
      <c r="A7" t="s">
        <v>60</v>
      </c>
      <c r="B7" s="5">
        <f>B4*7</f>
        <v>2592957.5</v>
      </c>
      <c r="D7" s="28" t="s">
        <v>58</v>
      </c>
      <c r="E7" s="31">
        <f>E4*6+E4</f>
        <v>161000000</v>
      </c>
      <c r="F7" s="31">
        <f>E7-E6</f>
        <v>46000000</v>
      </c>
      <c r="G7" s="35">
        <f t="shared" si="0"/>
        <v>1932000000</v>
      </c>
      <c r="H7" s="30">
        <v>0.25</v>
      </c>
    </row>
    <row r="8" spans="1:11" ht="27.75" customHeight="1" thickBot="1" x14ac:dyDescent="0.3">
      <c r="A8" t="s">
        <v>37</v>
      </c>
      <c r="B8" s="5">
        <v>17000</v>
      </c>
      <c r="D8" s="32" t="s">
        <v>59</v>
      </c>
      <c r="E8" s="33"/>
      <c r="F8" s="33"/>
      <c r="G8" s="36"/>
      <c r="H8" s="34">
        <v>0.35</v>
      </c>
      <c r="J8" s="9"/>
    </row>
    <row r="9" spans="1:11" ht="24.75" x14ac:dyDescent="0.6">
      <c r="A9" t="s">
        <v>38</v>
      </c>
      <c r="B9" s="5">
        <v>17000</v>
      </c>
      <c r="D9" s="26"/>
      <c r="E9" s="26"/>
      <c r="F9" s="26"/>
      <c r="G9" s="26"/>
      <c r="H9" s="26"/>
      <c r="J9" s="9"/>
    </row>
    <row r="10" spans="1:11" x14ac:dyDescent="0.25">
      <c r="A10" t="s">
        <v>39</v>
      </c>
      <c r="B10" s="5">
        <v>10000</v>
      </c>
    </row>
    <row r="11" spans="1:11" x14ac:dyDescent="0.25">
      <c r="A11" t="s">
        <v>40</v>
      </c>
      <c r="B11" s="5">
        <v>10000</v>
      </c>
      <c r="E11" s="9"/>
      <c r="G11" s="9"/>
      <c r="I11" s="9"/>
    </row>
    <row r="12" spans="1:11" x14ac:dyDescent="0.25">
      <c r="A12" t="s">
        <v>41</v>
      </c>
      <c r="B12" s="5">
        <v>5000</v>
      </c>
      <c r="D12" s="9"/>
      <c r="G12" s="9"/>
    </row>
    <row r="13" spans="1:11" x14ac:dyDescent="0.25">
      <c r="A13" t="s">
        <v>42</v>
      </c>
      <c r="B13" s="5">
        <v>3000</v>
      </c>
      <c r="E13" s="9"/>
    </row>
    <row r="14" spans="1:11" x14ac:dyDescent="0.25">
      <c r="A14" t="s">
        <v>43</v>
      </c>
      <c r="B14" s="5">
        <v>2500</v>
      </c>
    </row>
    <row r="16" spans="1:11" x14ac:dyDescent="0.25">
      <c r="A16" s="5"/>
      <c r="E16" s="9"/>
    </row>
  </sheetData>
  <mergeCells count="1"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فروردین 97</vt:lpstr>
      <vt:lpstr>بخشنامه وزارت کار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2018-12-02T13:43:58Z</dcterms:modified>
</cp:coreProperties>
</file>