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1FDEFB95-B568-4A7A-854D-08EF07A070FD}" xr6:coauthVersionLast="45" xr6:coauthVersionMax="45" xr10:uidLastSave="{00000000-0000-0000-0000-000000000000}"/>
  <bookViews>
    <workbookView xWindow="-98" yWindow="-98" windowWidth="20715" windowHeight="13276" tabRatio="598" activeTab="1" xr2:uid="{00000000-000D-0000-FFFF-FFFF00000000}"/>
  </bookViews>
  <sheets>
    <sheet name="اطلاعات احکام پرسنلی" sheetId="1" r:id="rId1"/>
    <sheet name="اطلاعات کارکرد فروردین ماه 99" sheetId="2" r:id="rId2"/>
    <sheet name="فیش حقوقی" sheetId="3" r:id="rId3"/>
    <sheet name="Sheet1" sheetId="4" state="hidden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3" l="1"/>
  <c r="I9" i="2" l="1"/>
  <c r="I8" i="2"/>
  <c r="I7" i="2"/>
  <c r="I6" i="2"/>
  <c r="K7" i="2"/>
  <c r="K8" i="2"/>
  <c r="K9" i="2"/>
  <c r="K6" i="2"/>
  <c r="D14" i="2"/>
  <c r="H8" i="2" s="1"/>
  <c r="H14" i="2"/>
  <c r="B6" i="2"/>
  <c r="D6" i="2"/>
  <c r="B7" i="2"/>
  <c r="D7" i="2"/>
  <c r="B8" i="2"/>
  <c r="D8" i="2"/>
  <c r="B9" i="2"/>
  <c r="D9" i="2"/>
  <c r="B5" i="3" l="1"/>
  <c r="H7" i="2"/>
  <c r="D10" i="2"/>
  <c r="L16" i="2"/>
  <c r="L17" i="2"/>
  <c r="L18" i="2"/>
  <c r="L15" i="2"/>
  <c r="G6" i="4" l="1"/>
  <c r="C9" i="3"/>
  <c r="O15" i="2"/>
  <c r="O16" i="2"/>
  <c r="O17" i="2"/>
  <c r="O18" i="2"/>
  <c r="O14" i="2"/>
  <c r="C13" i="3"/>
  <c r="D10" i="3" l="1"/>
  <c r="D9" i="3"/>
  <c r="R14" i="2"/>
  <c r="R15" i="2" s="1"/>
  <c r="K10" i="2" l="1"/>
  <c r="U20" i="2" s="1"/>
  <c r="H16" i="2" l="1"/>
  <c r="E7" i="1"/>
  <c r="E8" i="1"/>
  <c r="E9" i="1"/>
  <c r="E6" i="1"/>
  <c r="E9" i="2" l="1"/>
  <c r="K9" i="1"/>
  <c r="E8" i="2"/>
  <c r="F8" i="2" s="1"/>
  <c r="G8" i="2" s="1"/>
  <c r="K8" i="1"/>
  <c r="E7" i="2"/>
  <c r="F7" i="2" s="1"/>
  <c r="G7" i="2" s="1"/>
  <c r="K7" i="1"/>
  <c r="E6" i="2"/>
  <c r="K6" i="1"/>
  <c r="F9" i="1"/>
  <c r="F9" i="2"/>
  <c r="G9" i="2" s="1"/>
  <c r="F7" i="1"/>
  <c r="F6" i="1"/>
  <c r="F8" i="1"/>
  <c r="J7" i="2"/>
  <c r="J8" i="2"/>
  <c r="J9" i="2"/>
  <c r="J6" i="2"/>
  <c r="C12" i="3" s="1"/>
  <c r="H10" i="2"/>
  <c r="U18" i="2" s="1"/>
  <c r="U16" i="2"/>
  <c r="J10" i="2" l="1"/>
  <c r="U19" i="2" s="1"/>
  <c r="O8" i="2"/>
  <c r="M8" i="2"/>
  <c r="O6" i="2"/>
  <c r="C15" i="3" s="1"/>
  <c r="M6" i="2"/>
  <c r="M7" i="2"/>
  <c r="O7" i="2"/>
  <c r="O9" i="2"/>
  <c r="M9" i="2"/>
  <c r="F6" i="2"/>
  <c r="C10" i="3"/>
  <c r="E10" i="2"/>
  <c r="U17" i="2" s="1"/>
  <c r="C14" i="3" l="1"/>
  <c r="P9" i="2"/>
  <c r="Q9" i="2" s="1"/>
  <c r="P7" i="2"/>
  <c r="Q7" i="2" s="1"/>
  <c r="P8" i="2"/>
  <c r="Q8" i="2" s="1"/>
  <c r="G6" i="2"/>
  <c r="F10" i="2"/>
  <c r="M10" i="2"/>
  <c r="U21" i="2" s="1"/>
  <c r="F7" i="4"/>
  <c r="G11" i="4" s="1"/>
  <c r="O10" i="2"/>
  <c r="U22" i="2" s="1"/>
  <c r="P6" i="2"/>
  <c r="Q6" i="2" s="1"/>
  <c r="Q10" i="2" l="1"/>
  <c r="U23" i="2" s="1"/>
  <c r="P10" i="2"/>
  <c r="R7" i="2"/>
  <c r="S7" i="2" s="1"/>
  <c r="T7" i="2" s="1"/>
  <c r="R9" i="2"/>
  <c r="S9" i="2" s="1"/>
  <c r="T9" i="2" s="1"/>
  <c r="R8" i="2"/>
  <c r="S8" i="2" s="1"/>
  <c r="B1" i="4"/>
  <c r="F3" i="4"/>
  <c r="F5" i="4" s="1"/>
  <c r="C16" i="3"/>
  <c r="T8" i="2" l="1"/>
  <c r="U8" i="2" s="1"/>
  <c r="V8" i="2" s="1"/>
  <c r="U9" i="2"/>
  <c r="V9" i="2" s="1"/>
  <c r="U7" i="2"/>
  <c r="V7" i="2" s="1"/>
  <c r="G5" i="4"/>
  <c r="H5" i="4" s="1"/>
  <c r="F8" i="4"/>
  <c r="G9" i="4" s="1"/>
  <c r="R6" i="2"/>
  <c r="B2" i="4"/>
  <c r="B4" i="4" s="1"/>
  <c r="B5" i="4" s="1"/>
  <c r="U27" i="2"/>
  <c r="F9" i="3" l="1"/>
  <c r="S6" i="2"/>
  <c r="R10" i="2"/>
  <c r="V25" i="2" s="1"/>
  <c r="T6" i="2" l="1"/>
  <c r="F10" i="3" s="1"/>
  <c r="F16" i="3" s="1"/>
  <c r="B17" i="3" s="1"/>
  <c r="S10" i="2"/>
  <c r="T10" i="2" l="1"/>
  <c r="V24" i="2" s="1"/>
  <c r="U6" i="2"/>
  <c r="U10" i="2" l="1"/>
  <c r="V6" i="2"/>
  <c r="V10" i="2" s="1"/>
  <c r="V26" i="2" s="1"/>
  <c r="V27" i="2" l="1"/>
  <c r="V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5" authorId="0" shapeId="0" xr:uid="{58872E49-ABFC-4D91-A3CC-2D5A458B6CA8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اطلاعاتی که در قرارداد درج می شود بر مبنای 30 روز است و برای محاسبه در ماه های مختلف باید تعداد روز آن ماه را در نظر بگیریم</t>
        </r>
      </text>
    </comment>
    <comment ref="E5" authorId="0" shapeId="0" xr:uid="{701F8E76-8469-48D6-8722-9A89304801B5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یک عامل به تبع شغل است که به منظور جذب نیروی تخصصی بوده و جزء حقوق ومزایای مستمر است و جهت کسری حقوق به پایه حقوق اضافه می گردد
 در خصوص جذب در مناطق محروم نیز استفاده میگردد.</t>
        </r>
      </text>
    </comment>
    <comment ref="F5" authorId="0" shapeId="0" xr:uid="{A6DD93CB-C50A-4FB3-A6D9-C080846A1917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ماخذ محاسبه عواملی چون اضافه کار و حق ماموریت است</t>
        </r>
      </text>
    </comment>
    <comment ref="G5" authorId="0" shapeId="0" xr:uid="{557E449A-07F5-4BBB-9E77-24EBB0383302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و به فردی تعلق می‌گیرد که حداقل یکسال سابقه کار در آن کارگاه را داشته باشد</t>
        </r>
      </text>
    </comment>
    <comment ref="H5" authorId="0" shapeId="0" xr:uid="{E37E0E3F-CD65-4E7F-9A7A-7063EC897FC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اگر دارای فرزند باشد و همچنین دارای حداقل 720 روز سابقه بیمه، مشمول دریافت حق اولاد است
حق اولاد برابر است با 3 روز حداقل حقوق مصوب شورای عالی کار
از سال 92 به بعد محدودیت تعداد نداریم
برای اولاد پسر به شرط اشتغال به تحصیل 
برای اولاد دختر به شرط عدم اشتغال و تا زمان ازدواج</t>
        </r>
      </text>
    </comment>
    <comment ref="I5" authorId="0" shapeId="0" xr:uid="{57FD8076-355D-4122-8482-290C2D260436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  <comment ref="J5" authorId="0" shapeId="0" xr:uid="{29028A66-F575-4A20-8265-4885827CCC51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777523E3-119F-49BA-A997-7212963AF2A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حقوق و مزایای مشمول بیمه حداکثر می تواند 7 برابر حداقل حقوق آن ماه باشد
در این جدول لازم است حق ماموریت و حق اولاد را از جمع حقوق و مزایا کسر کنیم چراکه این دو مشمول بیمه نیستند</t>
        </r>
      </text>
    </comment>
    <comment ref="S5" authorId="0" shapeId="0" xr:uid="{51DFABFC-AA29-4485-B7A6-6AE12B52397F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 حق ماموریت - از مالیات حقوق معاف است
  و دوهفتم بیمه سهم کارمند - نوعی معافیت است
را از جمع حقوق و مزایا کسر می کنیم</t>
        </r>
      </text>
    </comment>
    <comment ref="U5" authorId="0" shapeId="0" xr:uid="{14634785-1080-443D-A461-7B21D0E705FE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جمع کسورات قانونی برابر است با جمع بیمه و مالیات قابل پرداخت کارمند</t>
        </r>
      </text>
    </comment>
  </commentList>
</comments>
</file>

<file path=xl/sharedStrings.xml><?xml version="1.0" encoding="utf-8"?>
<sst xmlns="http://schemas.openxmlformats.org/spreadsheetml/2006/main" count="110" uniqueCount="88">
  <si>
    <t>شماره پرسنلی</t>
  </si>
  <si>
    <t>نام و نام خانوادگی</t>
  </si>
  <si>
    <t xml:space="preserve">میلغ حقوق </t>
  </si>
  <si>
    <t>حق جذب</t>
  </si>
  <si>
    <t>پایه سنوات</t>
  </si>
  <si>
    <t>حق اولاد</t>
  </si>
  <si>
    <t>حق خواروبار  و مسکن</t>
  </si>
  <si>
    <t>تعداد روز کارکرد</t>
  </si>
  <si>
    <t>مبنای حق اولاد</t>
  </si>
  <si>
    <t>حق ماموریت</t>
  </si>
  <si>
    <t>تعداد روز ماموریت</t>
  </si>
  <si>
    <t>تاریخ استخدام</t>
  </si>
  <si>
    <t>اضافه کار ساعت</t>
  </si>
  <si>
    <t>تعداد اولاد</t>
  </si>
  <si>
    <t>مبلغ اضافه کار</t>
  </si>
  <si>
    <t>حقوق و مزایای مشمول بیمه</t>
  </si>
  <si>
    <t>بیمه سهم کارمند</t>
  </si>
  <si>
    <t>حقوق و مزایای مشمول مالیات</t>
  </si>
  <si>
    <t>مالیات</t>
  </si>
  <si>
    <t>جمع کسورات قانونی</t>
  </si>
  <si>
    <t>قابل پرداخت</t>
  </si>
  <si>
    <t>حداقل حقوق روزانه</t>
  </si>
  <si>
    <t>سند حسابداری</t>
  </si>
  <si>
    <t>نام حساب</t>
  </si>
  <si>
    <t>بدهکار</t>
  </si>
  <si>
    <t>بستانکار</t>
  </si>
  <si>
    <t>سهم بیمه کارفرما</t>
  </si>
  <si>
    <t>مالیات پرداختنی</t>
  </si>
  <si>
    <t>بیمه پرداختنی</t>
  </si>
  <si>
    <t>حقوق پرداختنی</t>
  </si>
  <si>
    <t>فیش حقوقی</t>
  </si>
  <si>
    <t>اطلاعات کارمند</t>
  </si>
  <si>
    <t>اطلاعات مربوط به حقوق</t>
  </si>
  <si>
    <t>مزایا</t>
  </si>
  <si>
    <t>کسورات قانونی</t>
  </si>
  <si>
    <t>جمع مزایا</t>
  </si>
  <si>
    <t>جمع کسورات</t>
  </si>
  <si>
    <t>جمع حقوق و مزایای به تبع شغل</t>
  </si>
  <si>
    <t>از</t>
  </si>
  <si>
    <t>تا</t>
  </si>
  <si>
    <t>نرخ</t>
  </si>
  <si>
    <t>مالیات طبقه</t>
  </si>
  <si>
    <t>حقوق روزانه</t>
  </si>
  <si>
    <t>جمع مشمول و غیر مشمول</t>
  </si>
  <si>
    <t>جمع درامد مشمول بیمه</t>
  </si>
  <si>
    <t>خواروبار</t>
  </si>
  <si>
    <t>جمع حقوق ماهانه مشمول</t>
  </si>
  <si>
    <t>دستمزد روانه</t>
  </si>
  <si>
    <t>جمع ماهانه</t>
  </si>
  <si>
    <t>خواروبار و مسکن</t>
  </si>
  <si>
    <t>جمع مشمول بیمه</t>
  </si>
  <si>
    <t>اضافه کار</t>
  </si>
  <si>
    <t>جدول مالیات- ماهانه</t>
  </si>
  <si>
    <t>حسابنو - آموزش و مشاوره مالیات</t>
  </si>
  <si>
    <t>میلغ حقوق پایه</t>
  </si>
  <si>
    <t xml:space="preserve">شرکت نمونه </t>
  </si>
  <si>
    <t>اطلاعات احکام پرسنلی ( حقوق و دستمزد کارکنان)</t>
  </si>
  <si>
    <t>سال 1399</t>
  </si>
  <si>
    <t>محمدرضا گلزار</t>
  </si>
  <si>
    <t>نوید محمدزاده</t>
  </si>
  <si>
    <t>رامبد جوان</t>
  </si>
  <si>
    <t>احسان علی‌خانی</t>
  </si>
  <si>
    <t>1398/02/01</t>
  </si>
  <si>
    <t>1395/01/01</t>
  </si>
  <si>
    <t>1398/01/01</t>
  </si>
  <si>
    <t>1398/09/30</t>
  </si>
  <si>
    <t>حق خواروبار</t>
  </si>
  <si>
    <t>حق مسکن</t>
  </si>
  <si>
    <t>عیدی و پاداش</t>
  </si>
  <si>
    <t>حقوق پایه</t>
  </si>
  <si>
    <t>مزد روزانه</t>
  </si>
  <si>
    <t>مبلغ حق اولاد</t>
  </si>
  <si>
    <t>حقوق و مزایای
 به تبع شغل</t>
  </si>
  <si>
    <t>اطلاعات کارکرد فروردین‌ماه 1399</t>
  </si>
  <si>
    <t>حق اولاد برای هر فرزند برابر است با 3 روز حداقل دستمزد روزانه</t>
  </si>
  <si>
    <t>مبنای پایه سنوات</t>
  </si>
  <si>
    <t>پایه سنوات به فردی تعلق می‌گیرد که بیش از یکسال در آن مجموعه
مشغول به کار باشد</t>
  </si>
  <si>
    <t>پایه سنوات 30 روز</t>
  </si>
  <si>
    <t>پایه سنوات روزانه</t>
  </si>
  <si>
    <t>هفت برابر حداقل حقوق روزانه</t>
  </si>
  <si>
    <t xml:space="preserve"> جمع (تراز)</t>
  </si>
  <si>
    <t>حسابنو (آموزش و مشاوره مالی و مالیاتی)</t>
  </si>
  <si>
    <t>فروردین 1399</t>
  </si>
  <si>
    <t>حسابنو - آموزش و مشاوره مالی و مالیاتی</t>
  </si>
  <si>
    <t>تعداد
اولاد</t>
  </si>
  <si>
    <r>
      <t xml:space="preserve">سی‌ویک  روز </t>
    </r>
    <r>
      <rPr>
        <b/>
        <sz val="11"/>
        <color rgb="FFFF0000"/>
        <rFont val="B Nazanin"/>
        <charset val="178"/>
      </rPr>
      <t>حداکثر حقوق مشمول بیمه</t>
    </r>
  </si>
  <si>
    <t xml:space="preserve"> حقوق پایه</t>
  </si>
  <si>
    <t>جمع کل حقوق و مزایا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</si>
</sst>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_-* #,##0\-;_-* &quot;-&quot;_-;_-@_-"/>
    <numFmt numFmtId="165" formatCode="_-* #,##0.00_-;_-* #,##0.00\-;_-* &quot;-&quot;??_-;_-@_-"/>
    <numFmt numFmtId="166" formatCode="_-* #\,##0.00_-;_-* #\,##0.00\-;_-* &quot;-&quot;??_-;_-@_-"/>
    <numFmt numFmtId="167" formatCode="_-* #,##0_-;_-* #,##0\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9"/>
      <color indexed="81"/>
      <name val="Tahoma"/>
    </font>
    <font>
      <b/>
      <sz val="9"/>
      <color indexed="81"/>
      <name val="Taho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IRANSansDNFaNum"/>
      <family val="2"/>
    </font>
    <font>
      <b/>
      <sz val="14"/>
      <color theme="0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Nazanin"/>
      <charset val="178"/>
    </font>
    <font>
      <b/>
      <sz val="12"/>
      <color rgb="FFFF0000"/>
      <name val="B Nazanin"/>
      <charset val="178"/>
    </font>
    <font>
      <b/>
      <sz val="11"/>
      <color theme="0"/>
      <name val="B Nazanin"/>
      <charset val="178"/>
    </font>
    <font>
      <b/>
      <sz val="11"/>
      <name val="B Nazanin"/>
      <charset val="178"/>
    </font>
    <font>
      <sz val="11"/>
      <color theme="0"/>
      <name val="B Nazanin"/>
      <charset val="178"/>
    </font>
    <font>
      <b/>
      <sz val="16"/>
      <color theme="1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167" fontId="2" fillId="0" borderId="0" xfId="0" applyNumberFormat="1" applyFont="1"/>
    <xf numFmtId="164" fontId="0" fillId="0" borderId="0" xfId="0" applyNumberFormat="1"/>
    <xf numFmtId="167" fontId="0" fillId="0" borderId="0" xfId="2" applyNumberFormat="1" applyFont="1"/>
    <xf numFmtId="165" fontId="0" fillId="0" borderId="0" xfId="0" applyNumberFormat="1"/>
    <xf numFmtId="167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3" fontId="7" fillId="0" borderId="0" xfId="0" applyNumberFormat="1" applyFont="1"/>
    <xf numFmtId="0" fontId="10" fillId="9" borderId="1" xfId="0" applyFont="1" applyFill="1" applyBorder="1" applyAlignment="1">
      <alignment horizontal="center" vertical="center" wrapText="1"/>
    </xf>
    <xf numFmtId="3" fontId="10" fillId="9" borderId="1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164" fontId="9" fillId="7" borderId="6" xfId="1" applyFont="1" applyFill="1" applyBorder="1" applyAlignment="1">
      <alignment horizontal="center" vertical="center"/>
    </xf>
    <xf numFmtId="164" fontId="9" fillId="7" borderId="8" xfId="1" applyFont="1" applyFill="1" applyBorder="1" applyAlignment="1">
      <alignment horizontal="center" vertical="center"/>
    </xf>
    <xf numFmtId="164" fontId="9" fillId="7" borderId="7" xfId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64" fontId="9" fillId="7" borderId="3" xfId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167" fontId="12" fillId="6" borderId="6" xfId="1" applyNumberFormat="1" applyFont="1" applyFill="1" applyBorder="1" applyAlignment="1">
      <alignment horizontal="center" vertical="center"/>
    </xf>
    <xf numFmtId="164" fontId="12" fillId="6" borderId="6" xfId="1" applyFont="1" applyFill="1" applyBorder="1" applyAlignment="1">
      <alignment horizontal="center" vertical="center"/>
    </xf>
    <xf numFmtId="164" fontId="12" fillId="7" borderId="6" xfId="1" applyFont="1" applyFill="1" applyBorder="1" applyAlignment="1">
      <alignment horizontal="center" vertical="center"/>
    </xf>
    <xf numFmtId="164" fontId="12" fillId="6" borderId="8" xfId="1" applyNumberFormat="1" applyFont="1" applyFill="1" applyBorder="1" applyAlignment="1">
      <alignment horizontal="center" vertical="center"/>
    </xf>
    <xf numFmtId="164" fontId="12" fillId="6" borderId="7" xfId="1" applyFont="1" applyFill="1" applyBorder="1" applyAlignment="1">
      <alignment horizontal="center" vertical="center"/>
    </xf>
    <xf numFmtId="164" fontId="12" fillId="7" borderId="7" xfId="1" applyFont="1" applyFill="1" applyBorder="1" applyAlignment="1">
      <alignment horizontal="center" vertical="center"/>
    </xf>
    <xf numFmtId="167" fontId="12" fillId="6" borderId="7" xfId="2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164" fontId="12" fillId="6" borderId="3" xfId="1" applyFont="1" applyFill="1" applyBorder="1" applyAlignment="1">
      <alignment horizontal="center" vertical="center"/>
    </xf>
    <xf numFmtId="164" fontId="12" fillId="7" borderId="4" xfId="1" applyFont="1" applyFill="1" applyBorder="1" applyAlignment="1">
      <alignment horizontal="center" vertical="center"/>
    </xf>
    <xf numFmtId="164" fontId="12" fillId="11" borderId="3" xfId="1" applyFont="1" applyFill="1" applyBorder="1" applyAlignment="1">
      <alignment horizontal="center" vertical="center"/>
    </xf>
    <xf numFmtId="164" fontId="12" fillId="11" borderId="3" xfId="0" applyNumberFormat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37" fontId="12" fillId="11" borderId="3" xfId="0" applyNumberFormat="1" applyFont="1" applyFill="1" applyBorder="1" applyAlignment="1">
      <alignment horizontal="center" vertical="center"/>
    </xf>
    <xf numFmtId="167" fontId="12" fillId="11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10" borderId="21" xfId="0" applyNumberFormat="1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11" fillId="8" borderId="2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 wrapText="1"/>
    </xf>
    <xf numFmtId="167" fontId="11" fillId="10" borderId="22" xfId="2" applyNumberFormat="1" applyFont="1" applyFill="1" applyBorder="1" applyAlignment="1">
      <alignment horizontal="center" vertical="center"/>
    </xf>
    <xf numFmtId="164" fontId="2" fillId="10" borderId="3" xfId="1" applyFont="1" applyFill="1" applyBorder="1" applyAlignment="1">
      <alignment horizontal="center" vertical="center"/>
    </xf>
    <xf numFmtId="164" fontId="2" fillId="10" borderId="24" xfId="1" applyFont="1" applyFill="1" applyBorder="1" applyAlignment="1">
      <alignment horizontal="center" vertical="center"/>
    </xf>
    <xf numFmtId="167" fontId="11" fillId="10" borderId="23" xfId="2" applyNumberFormat="1" applyFont="1" applyFill="1" applyBorder="1" applyAlignment="1">
      <alignment horizontal="center" vertical="center"/>
    </xf>
    <xf numFmtId="167" fontId="11" fillId="10" borderId="3" xfId="2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24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 wrapText="1"/>
    </xf>
    <xf numFmtId="167" fontId="11" fillId="10" borderId="24" xfId="0" applyNumberFormat="1" applyFont="1" applyFill="1" applyBorder="1" applyAlignment="1">
      <alignment horizontal="center" vertical="center"/>
    </xf>
    <xf numFmtId="9" fontId="11" fillId="10" borderId="3" xfId="0" applyNumberFormat="1" applyFont="1" applyFill="1" applyBorder="1" applyAlignment="1">
      <alignment horizontal="center" vertical="center"/>
    </xf>
    <xf numFmtId="167" fontId="11" fillId="10" borderId="24" xfId="2" applyNumberFormat="1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 wrapText="1"/>
    </xf>
    <xf numFmtId="167" fontId="11" fillId="8" borderId="27" xfId="0" applyNumberFormat="1" applyFont="1" applyFill="1" applyBorder="1" applyAlignment="1">
      <alignment horizontal="center" vertical="center"/>
    </xf>
    <xf numFmtId="164" fontId="12" fillId="8" borderId="23" xfId="0" applyNumberFormat="1" applyFont="1" applyFill="1" applyBorder="1" applyAlignment="1">
      <alignment horizontal="center" vertical="center"/>
    </xf>
    <xf numFmtId="165" fontId="12" fillId="8" borderId="3" xfId="0" applyNumberFormat="1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0" fillId="10" borderId="23" xfId="0" applyFont="1" applyFill="1" applyBorder="1" applyAlignment="1">
      <alignment horizontal="center" vertical="center" wrapText="1"/>
    </xf>
    <xf numFmtId="167" fontId="10" fillId="10" borderId="3" xfId="2" applyNumberFormat="1" applyFont="1" applyFill="1" applyBorder="1" applyAlignment="1">
      <alignment horizontal="center" vertical="center"/>
    </xf>
    <xf numFmtId="167" fontId="10" fillId="10" borderId="24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7" fontId="11" fillId="10" borderId="25" xfId="2" applyNumberFormat="1" applyFont="1" applyFill="1" applyBorder="1" applyAlignment="1">
      <alignment horizontal="center" vertical="center"/>
    </xf>
    <xf numFmtId="167" fontId="11" fillId="10" borderId="26" xfId="2" applyNumberFormat="1" applyFont="1" applyFill="1" applyBorder="1" applyAlignment="1">
      <alignment horizontal="center" vertical="center"/>
    </xf>
    <xf numFmtId="9" fontId="11" fillId="10" borderId="26" xfId="0" applyNumberFormat="1" applyFont="1" applyFill="1" applyBorder="1" applyAlignment="1">
      <alignment horizontal="center" vertical="center"/>
    </xf>
    <xf numFmtId="167" fontId="11" fillId="10" borderId="27" xfId="2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7" fontId="2" fillId="0" borderId="0" xfId="2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  <xf numFmtId="0" fontId="10" fillId="8" borderId="15" xfId="0" applyFont="1" applyFill="1" applyBorder="1"/>
    <xf numFmtId="0" fontId="10" fillId="8" borderId="0" xfId="0" applyFont="1" applyFill="1" applyBorder="1"/>
    <xf numFmtId="0" fontId="10" fillId="8" borderId="16" xfId="0" applyFont="1" applyFill="1" applyBorder="1"/>
    <xf numFmtId="0" fontId="10" fillId="8" borderId="12" xfId="0" applyFont="1" applyFill="1" applyBorder="1"/>
    <xf numFmtId="0" fontId="10" fillId="8" borderId="13" xfId="0" applyFont="1" applyFill="1" applyBorder="1"/>
    <xf numFmtId="0" fontId="10" fillId="8" borderId="14" xfId="0" applyFont="1" applyFill="1" applyBorder="1"/>
    <xf numFmtId="0" fontId="17" fillId="5" borderId="9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Border="1"/>
    <xf numFmtId="167" fontId="2" fillId="0" borderId="0" xfId="2" applyNumberFormat="1" applyFont="1" applyBorder="1"/>
    <xf numFmtId="0" fontId="11" fillId="2" borderId="15" xfId="0" applyFont="1" applyFill="1" applyBorder="1"/>
    <xf numFmtId="167" fontId="2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0" borderId="13" xfId="0" applyFont="1" applyBorder="1"/>
    <xf numFmtId="167" fontId="2" fillId="0" borderId="13" xfId="2" applyNumberFormat="1" applyFont="1" applyBorder="1"/>
    <xf numFmtId="0" fontId="2" fillId="0" borderId="12" xfId="0" applyFont="1" applyBorder="1"/>
    <xf numFmtId="0" fontId="2" fillId="0" borderId="14" xfId="0" applyFont="1" applyBorder="1"/>
    <xf numFmtId="0" fontId="11" fillId="3" borderId="12" xfId="0" applyFont="1" applyFill="1" applyBorder="1" applyAlignment="1">
      <alignment horizontal="center" vertical="center" wrapText="1"/>
    </xf>
    <xf numFmtId="167" fontId="11" fillId="3" borderId="13" xfId="2" applyNumberFormat="1" applyFont="1" applyFill="1" applyBorder="1"/>
    <xf numFmtId="0" fontId="11" fillId="3" borderId="13" xfId="0" applyFont="1" applyFill="1" applyBorder="1"/>
    <xf numFmtId="167" fontId="11" fillId="3" borderId="14" xfId="2" applyNumberFormat="1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8" fillId="5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/>
    </xf>
    <xf numFmtId="0" fontId="9" fillId="8" borderId="19" xfId="0" applyFont="1" applyFill="1" applyBorder="1" applyAlignment="1">
      <alignment horizontal="center"/>
    </xf>
    <xf numFmtId="166" fontId="2" fillId="10" borderId="25" xfId="0" applyNumberFormat="1" applyFont="1" applyFill="1" applyBorder="1" applyAlignment="1">
      <alignment horizontal="center" vertical="center"/>
    </xf>
    <xf numFmtId="166" fontId="2" fillId="10" borderId="26" xfId="0" applyNumberFormat="1" applyFont="1" applyFill="1" applyBorder="1" applyAlignment="1">
      <alignment horizontal="center" vertical="center"/>
    </xf>
    <xf numFmtId="166" fontId="2" fillId="10" borderId="27" xfId="0" applyNumberFormat="1" applyFont="1" applyFill="1" applyBorder="1" applyAlignment="1">
      <alignment horizontal="center" vertical="center"/>
    </xf>
    <xf numFmtId="164" fontId="14" fillId="8" borderId="20" xfId="1" applyFont="1" applyFill="1" applyBorder="1" applyAlignment="1">
      <alignment horizontal="center" vertical="center"/>
    </xf>
    <xf numFmtId="164" fontId="14" fillId="8" borderId="21" xfId="1" applyFont="1" applyFill="1" applyBorder="1" applyAlignment="1">
      <alignment horizontal="center" vertical="center"/>
    </xf>
    <xf numFmtId="164" fontId="14" fillId="8" borderId="23" xfId="1" applyFont="1" applyFill="1" applyBorder="1" applyAlignment="1">
      <alignment horizontal="center" vertical="center"/>
    </xf>
    <xf numFmtId="164" fontId="14" fillId="8" borderId="3" xfId="1" applyFont="1" applyFill="1" applyBorder="1" applyAlignment="1">
      <alignment horizontal="center" vertical="center"/>
    </xf>
    <xf numFmtId="166" fontId="2" fillId="10" borderId="25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28" xfId="1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 vertical="center"/>
    </xf>
    <xf numFmtId="167" fontId="18" fillId="4" borderId="10" xfId="2" applyNumberFormat="1" applyFont="1" applyFill="1" applyBorder="1" applyAlignment="1">
      <alignment vertical="center"/>
    </xf>
    <xf numFmtId="167" fontId="18" fillId="4" borderId="11" xfId="2" applyNumberFormat="1" applyFont="1" applyFill="1" applyBorder="1" applyAlignment="1">
      <alignment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Medium9"/>
  <colors>
    <mruColors>
      <color rgb="FFFF0066"/>
      <color rgb="FFFFCC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6" fmlaLink="$E$4" max="1004" min="1001" page="10" val="100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633412</xdr:colOff>
      <xdr:row>0</xdr:row>
      <xdr:rowOff>4762</xdr:rowOff>
    </xdr:from>
    <xdr:to>
      <xdr:col>1</xdr:col>
      <xdr:colOff>1443037</xdr:colOff>
      <xdr:row>4</xdr:row>
      <xdr:rowOff>19426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r="13181"/>
        <a:stretch/>
      </xdr:blipFill>
      <xdr:spPr>
        <a:xfrm>
          <a:off x="10536526426" y="4762"/>
          <a:ext cx="1466850" cy="1324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</xdr:row>
          <xdr:rowOff>19050</xdr:rowOff>
        </xdr:from>
        <xdr:to>
          <xdr:col>8</xdr:col>
          <xdr:colOff>552450</xdr:colOff>
          <xdr:row>8</xdr:row>
          <xdr:rowOff>9525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K10"/>
  <sheetViews>
    <sheetView rightToLeft="1" topLeftCell="B1" workbookViewId="0">
      <selection activeCell="J8" sqref="J8"/>
    </sheetView>
  </sheetViews>
  <sheetFormatPr defaultColWidth="9" defaultRowHeight="17.649999999999999" x14ac:dyDescent="0.85"/>
  <cols>
    <col min="1" max="1" width="9.19921875" style="7" bestFit="1" customWidth="1"/>
    <col min="2" max="2" width="20.86328125" style="7" customWidth="1"/>
    <col min="3" max="3" width="12.59765625" style="7" customWidth="1"/>
    <col min="4" max="4" width="14.86328125" style="7" bestFit="1" customWidth="1"/>
    <col min="5" max="5" width="15.33203125" style="7" customWidth="1"/>
    <col min="6" max="6" width="16.265625" style="7" customWidth="1"/>
    <col min="7" max="7" width="14.19921875" style="7" customWidth="1"/>
    <col min="8" max="8" width="8.73046875" style="7" customWidth="1"/>
    <col min="9" max="10" width="12.06640625" style="7" customWidth="1"/>
    <col min="11" max="11" width="18.46484375" style="10" customWidth="1"/>
    <col min="12" max="16384" width="9" style="7"/>
  </cols>
  <sheetData>
    <row r="1" spans="1:11" ht="35.65" customHeight="1" x14ac:dyDescent="0.85">
      <c r="A1" s="115" t="s">
        <v>83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2.5" x14ac:dyDescent="1.1000000000000001">
      <c r="A2" s="116" t="s">
        <v>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2.5" x14ac:dyDescent="1.1000000000000001">
      <c r="A3" s="116" t="s">
        <v>56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ht="22.5" x14ac:dyDescent="1.1000000000000001">
      <c r="A4" s="117" t="s">
        <v>57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1:11" ht="36.75" x14ac:dyDescent="0.85">
      <c r="A5" s="11" t="s">
        <v>0</v>
      </c>
      <c r="B5" s="11" t="s">
        <v>1</v>
      </c>
      <c r="C5" s="11" t="s">
        <v>11</v>
      </c>
      <c r="D5" s="11" t="s">
        <v>54</v>
      </c>
      <c r="E5" s="11" t="s">
        <v>3</v>
      </c>
      <c r="F5" s="11" t="s">
        <v>37</v>
      </c>
      <c r="G5" s="11" t="s">
        <v>4</v>
      </c>
      <c r="H5" s="11" t="s">
        <v>84</v>
      </c>
      <c r="I5" s="11" t="s">
        <v>66</v>
      </c>
      <c r="J5" s="11" t="s">
        <v>67</v>
      </c>
      <c r="K5" s="12" t="s">
        <v>68</v>
      </c>
    </row>
    <row r="6" spans="1:11" s="8" customFormat="1" ht="34.25" customHeight="1" x14ac:dyDescent="0.85">
      <c r="A6" s="13">
        <v>1001</v>
      </c>
      <c r="B6" s="14" t="s">
        <v>58</v>
      </c>
      <c r="C6" s="15" t="s">
        <v>62</v>
      </c>
      <c r="D6" s="16">
        <v>55000000</v>
      </c>
      <c r="E6" s="16">
        <f>D6*0.4</f>
        <v>22000000</v>
      </c>
      <c r="F6" s="16">
        <f>D6+E6</f>
        <v>77000000</v>
      </c>
      <c r="G6" s="16">
        <v>1750000</v>
      </c>
      <c r="H6" s="16">
        <v>1</v>
      </c>
      <c r="I6" s="17">
        <v>4000000</v>
      </c>
      <c r="J6" s="18">
        <v>1000000</v>
      </c>
      <c r="K6" s="19">
        <f>IF(((E6+D6)*2)&gt;=55062810,55062810,(E6+D6)*2)</f>
        <v>55062810</v>
      </c>
    </row>
    <row r="7" spans="1:11" s="8" customFormat="1" ht="34.25" customHeight="1" x14ac:dyDescent="0.85">
      <c r="A7" s="20">
        <v>1002</v>
      </c>
      <c r="B7" s="21" t="s">
        <v>60</v>
      </c>
      <c r="C7" s="15" t="s">
        <v>63</v>
      </c>
      <c r="D7" s="22">
        <v>85000000</v>
      </c>
      <c r="E7" s="22">
        <f>D7*0.4</f>
        <v>34000000</v>
      </c>
      <c r="F7" s="16">
        <f>D7+E7</f>
        <v>119000000</v>
      </c>
      <c r="G7" s="16">
        <v>1750000</v>
      </c>
      <c r="H7" s="22">
        <v>0</v>
      </c>
      <c r="I7" s="17">
        <v>4000000</v>
      </c>
      <c r="J7" s="18">
        <v>1000000</v>
      </c>
      <c r="K7" s="19">
        <f>IF(((E7+D7)*2)&gt;=55062810,55062810,(E7+D7)*2)</f>
        <v>55062810</v>
      </c>
    </row>
    <row r="8" spans="1:11" s="8" customFormat="1" ht="34.25" customHeight="1" x14ac:dyDescent="0.85">
      <c r="A8" s="20">
        <v>1003</v>
      </c>
      <c r="B8" s="21" t="s">
        <v>61</v>
      </c>
      <c r="C8" s="15" t="s">
        <v>64</v>
      </c>
      <c r="D8" s="22">
        <v>195000000</v>
      </c>
      <c r="E8" s="22">
        <f>D8*0.4</f>
        <v>78000000</v>
      </c>
      <c r="F8" s="16">
        <f>D8+E8</f>
        <v>273000000</v>
      </c>
      <c r="G8" s="16">
        <v>1750000</v>
      </c>
      <c r="H8" s="22">
        <v>2</v>
      </c>
      <c r="I8" s="17">
        <v>4000000</v>
      </c>
      <c r="J8" s="18">
        <v>1000000</v>
      </c>
      <c r="K8" s="19">
        <f>IF(((E8+D8)*2)&gt;=55062810,55062810,(E8+D8)*2)</f>
        <v>55062810</v>
      </c>
    </row>
    <row r="9" spans="1:11" s="8" customFormat="1" ht="34.25" customHeight="1" x14ac:dyDescent="0.85">
      <c r="A9" s="20">
        <v>1004</v>
      </c>
      <c r="B9" s="21" t="s">
        <v>59</v>
      </c>
      <c r="C9" s="15" t="s">
        <v>65</v>
      </c>
      <c r="D9" s="22">
        <v>22000000</v>
      </c>
      <c r="E9" s="22">
        <f>D9*0.4</f>
        <v>8800000</v>
      </c>
      <c r="F9" s="16">
        <f>D9+E9</f>
        <v>30800000</v>
      </c>
      <c r="G9" s="16">
        <v>1750000</v>
      </c>
      <c r="H9" s="22">
        <v>3</v>
      </c>
      <c r="I9" s="17">
        <v>4000000</v>
      </c>
      <c r="J9" s="18">
        <v>1000000</v>
      </c>
      <c r="K9" s="19">
        <f>IF(((E9+D9)*2)&gt;=55062810,55062810,(E9+D9)*2)</f>
        <v>55062810</v>
      </c>
    </row>
    <row r="10" spans="1:11" x14ac:dyDescent="0.85">
      <c r="E10" s="9"/>
      <c r="F10" s="9"/>
    </row>
  </sheetData>
  <mergeCells count="4">
    <mergeCell ref="A1:K1"/>
    <mergeCell ref="A2:K2"/>
    <mergeCell ref="A3:K3"/>
    <mergeCell ref="A4:K4"/>
  </mergeCells>
  <pageMargins left="0.2" right="0.38" top="0.26" bottom="0.75" header="0.2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V28"/>
  <sheetViews>
    <sheetView rightToLeft="1" tabSelected="1" topLeftCell="K1" workbookViewId="0">
      <selection activeCell="P7" sqref="P7"/>
    </sheetView>
  </sheetViews>
  <sheetFormatPr defaultColWidth="9" defaultRowHeight="16.899999999999999" x14ac:dyDescent="0.45"/>
  <cols>
    <col min="1" max="1" width="9.1328125" style="46" bestFit="1" customWidth="1"/>
    <col min="2" max="2" width="19.86328125" style="46" customWidth="1"/>
    <col min="3" max="3" width="16" style="46" customWidth="1"/>
    <col min="4" max="4" width="14.53125" style="46" bestFit="1" customWidth="1"/>
    <col min="5" max="5" width="15.1328125" style="46" customWidth="1"/>
    <col min="6" max="6" width="15" style="46" customWidth="1"/>
    <col min="7" max="7" width="13.1328125" style="46" customWidth="1"/>
    <col min="8" max="8" width="11.796875" style="46" bestFit="1" customWidth="1"/>
    <col min="9" max="9" width="9.59765625" style="46" customWidth="1"/>
    <col min="10" max="10" width="14.1328125" style="46" bestFit="1" customWidth="1"/>
    <col min="11" max="11" width="14" style="46" customWidth="1"/>
    <col min="12" max="12" width="13.265625" style="46" bestFit="1" customWidth="1"/>
    <col min="13" max="13" width="13.796875" style="46" bestFit="1" customWidth="1"/>
    <col min="14" max="14" width="9.1328125" style="46" bestFit="1" customWidth="1"/>
    <col min="15" max="15" width="14.1328125" style="46" bestFit="1" customWidth="1"/>
    <col min="16" max="16" width="18.3984375" style="46" customWidth="1"/>
    <col min="17" max="17" width="21.59765625" style="46" customWidth="1"/>
    <col min="18" max="18" width="14.1328125" style="46" bestFit="1" customWidth="1"/>
    <col min="19" max="19" width="17.1328125" style="46" customWidth="1"/>
    <col min="20" max="20" width="13.86328125" style="46" bestFit="1" customWidth="1"/>
    <col min="21" max="21" width="14.3984375" style="46" bestFit="1" customWidth="1"/>
    <col min="22" max="22" width="18" style="46" customWidth="1"/>
    <col min="23" max="16384" width="9" style="46"/>
  </cols>
  <sheetData>
    <row r="1" spans="1:22" ht="32.65" customHeight="1" x14ac:dyDescent="0.45">
      <c r="A1" s="115" t="s">
        <v>53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26.75" customHeight="1" x14ac:dyDescent="0.45">
      <c r="A2" s="139" t="s">
        <v>55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22" ht="26.75" customHeight="1" x14ac:dyDescent="0.45">
      <c r="A3" s="139" t="s">
        <v>73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</row>
    <row r="4" spans="1:22" ht="18" customHeight="1" x14ac:dyDescent="0.45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/>
      <c r="H4" s="23">
        <v>7</v>
      </c>
      <c r="I4" s="23">
        <v>8</v>
      </c>
      <c r="J4" s="23">
        <v>9</v>
      </c>
      <c r="K4" s="23">
        <v>10</v>
      </c>
      <c r="L4" s="23">
        <v>11</v>
      </c>
      <c r="M4" s="23">
        <v>12</v>
      </c>
      <c r="N4" s="23">
        <v>13</v>
      </c>
      <c r="O4" s="23">
        <v>14</v>
      </c>
      <c r="P4" s="23">
        <v>15</v>
      </c>
      <c r="Q4" s="23">
        <v>16</v>
      </c>
      <c r="R4" s="23">
        <v>17</v>
      </c>
      <c r="S4" s="23">
        <v>18</v>
      </c>
      <c r="T4" s="23">
        <v>19</v>
      </c>
      <c r="U4" s="24"/>
      <c r="V4" s="24"/>
    </row>
    <row r="5" spans="1:22" ht="39.75" x14ac:dyDescent="0.45">
      <c r="A5" s="25" t="s">
        <v>0</v>
      </c>
      <c r="B5" s="25" t="s">
        <v>1</v>
      </c>
      <c r="C5" s="25" t="s">
        <v>7</v>
      </c>
      <c r="D5" s="25" t="s">
        <v>69</v>
      </c>
      <c r="E5" s="25" t="s">
        <v>3</v>
      </c>
      <c r="F5" s="25" t="s">
        <v>72</v>
      </c>
      <c r="G5" s="25" t="s">
        <v>42</v>
      </c>
      <c r="H5" s="25" t="s">
        <v>4</v>
      </c>
      <c r="I5" s="25" t="s">
        <v>13</v>
      </c>
      <c r="J5" s="25" t="s">
        <v>5</v>
      </c>
      <c r="K5" s="25" t="s">
        <v>6</v>
      </c>
      <c r="L5" s="25" t="s">
        <v>10</v>
      </c>
      <c r="M5" s="25" t="s">
        <v>9</v>
      </c>
      <c r="N5" s="25" t="s">
        <v>12</v>
      </c>
      <c r="O5" s="25" t="s">
        <v>14</v>
      </c>
      <c r="P5" s="25" t="s">
        <v>87</v>
      </c>
      <c r="Q5" s="25" t="s">
        <v>15</v>
      </c>
      <c r="R5" s="25" t="s">
        <v>16</v>
      </c>
      <c r="S5" s="25" t="s">
        <v>17</v>
      </c>
      <c r="T5" s="25" t="s">
        <v>18</v>
      </c>
      <c r="U5" s="25" t="s">
        <v>19</v>
      </c>
      <c r="V5" s="25" t="s">
        <v>20</v>
      </c>
    </row>
    <row r="6" spans="1:22" ht="27.85" customHeight="1" x14ac:dyDescent="0.45">
      <c r="A6" s="26">
        <v>1001</v>
      </c>
      <c r="B6" s="27" t="str">
        <f>'اطلاعات احکام پرسنلی'!B6:B9</f>
        <v>محمدرضا گلزار</v>
      </c>
      <c r="C6" s="28">
        <v>31</v>
      </c>
      <c r="D6" s="29">
        <f>('اطلاعات احکام پرسنلی'!D6/30)*'اطلاعات کارکرد فروردین ماه 99'!C6</f>
        <v>56833333.333333328</v>
      </c>
      <c r="E6" s="29">
        <f>'اطلاعات احکام پرسنلی'!E6/30*'اطلاعات کارکرد فروردین ماه 99'!C6</f>
        <v>22733333.333333336</v>
      </c>
      <c r="F6" s="30">
        <f>D6+E6</f>
        <v>79566666.666666657</v>
      </c>
      <c r="G6" s="30">
        <f>F6/C6</f>
        <v>2566666.6666666665</v>
      </c>
      <c r="H6" s="31"/>
      <c r="I6" s="30">
        <f>SUM('اطلاعات احکام پرسنلی'!H6)</f>
        <v>1</v>
      </c>
      <c r="J6" s="32">
        <f>$H$14*I6</f>
        <v>1835427</v>
      </c>
      <c r="K6" s="33">
        <f>'اطلاعات احکام پرسنلی'!J6+'اطلاعات احکام پرسنلی'!I6</f>
        <v>5000000</v>
      </c>
      <c r="L6" s="34">
        <v>3</v>
      </c>
      <c r="M6" s="35">
        <f>'اطلاعات احکام پرسنلی'!F6/30*'اطلاعات کارکرد فروردین ماه 99'!L6</f>
        <v>7700000</v>
      </c>
      <c r="N6" s="34">
        <v>40</v>
      </c>
      <c r="O6" s="33">
        <f>'اطلاعات احکام پرسنلی'!F6/220*1.4*'اطلاعات کارکرد فروردین ماه 99'!N6</f>
        <v>19599999.999999996</v>
      </c>
      <c r="P6" s="33">
        <f>O6+M6+K6+J6+H6+F6</f>
        <v>113702093.66666666</v>
      </c>
      <c r="Q6" s="33">
        <f>IF((P6-M6-J6)&gt;=(611809*7*C6),611809*7*C6,(P6-M6-J6))</f>
        <v>104166666.66666666</v>
      </c>
      <c r="R6" s="35">
        <f>Q6*7%</f>
        <v>7291666.666666667</v>
      </c>
      <c r="S6" s="33">
        <f>P6-M6-(R6*2/7)</f>
        <v>103918760.33333333</v>
      </c>
      <c r="T6" s="33">
        <f>IF(S6&lt;=30000000,0,IF(S6&lt;=75000000,(S6-30000000)*10%,IF(S6&lt;=105000000,(S6-75000000)*15%+4500000,IF(S6&lt;=150000000,(S6-105000000)*20%+4500000+4500000,IF(S6&lt;=999999999,(S6-150000000)*25%+9000000+4500000+4500000,"check")))))</f>
        <v>8837814.0499999989</v>
      </c>
      <c r="U6" s="33">
        <f>T6+R6</f>
        <v>16129480.716666665</v>
      </c>
      <c r="V6" s="33">
        <f>P6-U6</f>
        <v>97572612.949999988</v>
      </c>
    </row>
    <row r="7" spans="1:22" ht="27.85" customHeight="1" x14ac:dyDescent="0.45">
      <c r="A7" s="36">
        <v>1002</v>
      </c>
      <c r="B7" s="37" t="str">
        <f>'اطلاعات احکام پرسنلی'!B7</f>
        <v>رامبد جوان</v>
      </c>
      <c r="C7" s="38">
        <v>31</v>
      </c>
      <c r="D7" s="29">
        <f>('اطلاعات احکام پرسنلی'!D7/30)*'اطلاعات کارکرد فروردین ماه 99'!C7</f>
        <v>87833333.333333343</v>
      </c>
      <c r="E7" s="29">
        <f>'اطلاعات احکام پرسنلی'!E7/30*'اطلاعات کارکرد فروردین ماه 99'!C7</f>
        <v>35133333.333333328</v>
      </c>
      <c r="F7" s="30">
        <f>D7+E7</f>
        <v>122966666.66666667</v>
      </c>
      <c r="G7" s="30">
        <f>F7/C7</f>
        <v>3966666.666666667</v>
      </c>
      <c r="H7" s="31">
        <f>D14*C7</f>
        <v>1808333.3333333335</v>
      </c>
      <c r="I7" s="39">
        <f>SUM('اطلاعات احکام پرسنلی'!H7)</f>
        <v>0</v>
      </c>
      <c r="J7" s="32">
        <f>$H$14*I7</f>
        <v>0</v>
      </c>
      <c r="K7" s="33">
        <f>'اطلاعات احکام پرسنلی'!J7+'اطلاعات احکام پرسنلی'!I7</f>
        <v>5000000</v>
      </c>
      <c r="L7" s="40">
        <v>7</v>
      </c>
      <c r="M7" s="35">
        <f>'اطلاعات احکام پرسنلی'!F7/30*'اطلاعات کارکرد فروردین ماه 99'!L7</f>
        <v>27766666.666666664</v>
      </c>
      <c r="N7" s="40">
        <v>25</v>
      </c>
      <c r="O7" s="33">
        <f>'اطلاعات احکام پرسنلی'!F7/220*1.4*'اطلاعات کارکرد فروردین ماه 99'!N7</f>
        <v>18931818.181818184</v>
      </c>
      <c r="P7" s="33">
        <f>O7+M7+K7+J7+H7+F7</f>
        <v>176473484.84848484</v>
      </c>
      <c r="Q7" s="33">
        <f>IF((P7-M7-J7)&gt;=(611809*7*C7),611809*7*C7,(P7-M7-J7))</f>
        <v>132762553</v>
      </c>
      <c r="R7" s="35">
        <f>Q7*7%</f>
        <v>9293378.7100000009</v>
      </c>
      <c r="S7" s="33">
        <f>P7-M7-(R7*2/7)</f>
        <v>146051567.12181818</v>
      </c>
      <c r="T7" s="33">
        <f>IF(S7&lt;=30000000,0,IF(S7&lt;=75000000,(S7-30000000)*10%,IF(S7&lt;=105000000,(S7-75000000)*15%+4500000,IF(S7&lt;=150000000,(S7-105000000)*20%+4500000+4500000,IF(S7&lt;=999999999,(S7-150000000)*25%+9000000+4500000+4500000,"check")))))</f>
        <v>17210313.424363635</v>
      </c>
      <c r="U7" s="33">
        <f>T7+R7</f>
        <v>26503692.134363636</v>
      </c>
      <c r="V7" s="33">
        <f>P7-U7</f>
        <v>149969792.71412122</v>
      </c>
    </row>
    <row r="8" spans="1:22" ht="27.85" customHeight="1" x14ac:dyDescent="0.45">
      <c r="A8" s="26">
        <v>1003</v>
      </c>
      <c r="B8" s="37" t="str">
        <f>'اطلاعات احکام پرسنلی'!B8</f>
        <v>احسان علی‌خانی</v>
      </c>
      <c r="C8" s="38">
        <v>31</v>
      </c>
      <c r="D8" s="29">
        <f>('اطلاعات احکام پرسنلی'!D8/30)*'اطلاعات کارکرد فروردین ماه 99'!C8</f>
        <v>201500000</v>
      </c>
      <c r="E8" s="29">
        <f>'اطلاعات احکام پرسنلی'!E8/30*'اطلاعات کارکرد فروردین ماه 99'!C8</f>
        <v>80600000</v>
      </c>
      <c r="F8" s="30">
        <f>D8+E8</f>
        <v>282100000</v>
      </c>
      <c r="G8" s="30">
        <f>F8/C8</f>
        <v>9100000</v>
      </c>
      <c r="H8" s="31">
        <f>D14*C8</f>
        <v>1808333.3333333335</v>
      </c>
      <c r="I8" s="39">
        <f>SUM('اطلاعات احکام پرسنلی'!H8)</f>
        <v>2</v>
      </c>
      <c r="J8" s="32">
        <f>$H$14*I8</f>
        <v>3670854</v>
      </c>
      <c r="K8" s="33">
        <f>'اطلاعات احکام پرسنلی'!J8+'اطلاعات احکام پرسنلی'!I8</f>
        <v>5000000</v>
      </c>
      <c r="L8" s="40">
        <v>2</v>
      </c>
      <c r="M8" s="35">
        <f>'اطلاعات احکام پرسنلی'!F8/30*'اطلاعات کارکرد فروردین ماه 99'!L8</f>
        <v>18200000</v>
      </c>
      <c r="N8" s="40">
        <v>65</v>
      </c>
      <c r="O8" s="33">
        <f>'اطلاعات احکام پرسنلی'!F8/220*1.4*'اطلاعات کارکرد فروردین ماه 99'!N8</f>
        <v>112922727.27272727</v>
      </c>
      <c r="P8" s="33">
        <f>O8+M8+K8+J8+H8+F8</f>
        <v>423701914.60606062</v>
      </c>
      <c r="Q8" s="33">
        <f>IF((P8-M8-J8)&gt;=(611809*7*C8),611809*7*C8,(P8-M8-J8))</f>
        <v>132762553</v>
      </c>
      <c r="R8" s="35">
        <f>Q8*7%</f>
        <v>9293378.7100000009</v>
      </c>
      <c r="S8" s="33">
        <f>P8-M8-(R8*2/7)</f>
        <v>402846663.54606062</v>
      </c>
      <c r="T8" s="33">
        <f>IF(S8&lt;=30000000,0,IF(S8&lt;=75000000,(S8-30000000)*10%,IF(S8&lt;=105000000,(S8-75000000)*15%+4500000,IF(S8&lt;=150000000,(S8-105000000)*20%+4500000+4500000,IF(S8&lt;=999999999,(S8-150000000)*25%+9000000+4500000+4500000,"check")))))</f>
        <v>81211665.886515155</v>
      </c>
      <c r="U8" s="33">
        <f>T8+R8</f>
        <v>90505044.596515149</v>
      </c>
      <c r="V8" s="33">
        <f>P8-U8</f>
        <v>333196870.00954545</v>
      </c>
    </row>
    <row r="9" spans="1:22" ht="27.85" customHeight="1" x14ac:dyDescent="0.45">
      <c r="A9" s="36">
        <v>1004</v>
      </c>
      <c r="B9" s="37" t="str">
        <f>'اطلاعات احکام پرسنلی'!B9</f>
        <v>نوید محمدزاده</v>
      </c>
      <c r="C9" s="38">
        <v>31</v>
      </c>
      <c r="D9" s="29">
        <f>('اطلاعات احکام پرسنلی'!D9/30)*'اطلاعات کارکرد فروردین ماه 99'!C9</f>
        <v>22733333.333333336</v>
      </c>
      <c r="E9" s="29">
        <f>'اطلاعات احکام پرسنلی'!E9/30*'اطلاعات کارکرد فروردین ماه 99'!C9</f>
        <v>9093333.3333333321</v>
      </c>
      <c r="F9" s="30">
        <f>D9+E9</f>
        <v>31826666.666666668</v>
      </c>
      <c r="G9" s="30">
        <f>F9/C9</f>
        <v>1026666.6666666667</v>
      </c>
      <c r="H9" s="31"/>
      <c r="I9" s="39">
        <f>SUM('اطلاعات احکام پرسنلی'!H9)</f>
        <v>3</v>
      </c>
      <c r="J9" s="32">
        <f>$H$14*I9</f>
        <v>5506281</v>
      </c>
      <c r="K9" s="33">
        <f>'اطلاعات احکام پرسنلی'!J9+'اطلاعات احکام پرسنلی'!I9</f>
        <v>5000000</v>
      </c>
      <c r="L9" s="40">
        <v>20</v>
      </c>
      <c r="M9" s="35">
        <f>'اطلاعات احکام پرسنلی'!F9/30*'اطلاعات کارکرد فروردین ماه 99'!L9</f>
        <v>20533333.333333332</v>
      </c>
      <c r="N9" s="40">
        <v>50</v>
      </c>
      <c r="O9" s="33">
        <f>'اطلاعات احکام پرسنلی'!F9/220*1.4*'اطلاعات کارکرد فروردین ماه 99'!N9</f>
        <v>9800000</v>
      </c>
      <c r="P9" s="33">
        <f>O9+M9+K9+J9+H9+F9</f>
        <v>72666281</v>
      </c>
      <c r="Q9" s="33">
        <f>IF((P9-M9-J9)&gt;=(611809*7*C9),611809*7*C9,(P9-M9-J9))</f>
        <v>46626666.666666672</v>
      </c>
      <c r="R9" s="35">
        <f>Q9*7%</f>
        <v>3263866.6666666674</v>
      </c>
      <c r="S9" s="33">
        <f>P9-M9-(R9*2/7)</f>
        <v>51200414.333333336</v>
      </c>
      <c r="T9" s="33">
        <f>IF(S9&lt;=30000000,0,IF(S9&lt;=75000000,(S9-30000000)*10%,IF(S9&lt;=105000000,(S9-75000000)*15%+4500000,IF(S9&lt;=150000000,(S9-105000000)*20%+4500000+4500000,IF(S9&lt;=999999999,(S9-150000000)*25%+9000000+4500000+4500000,"check")))))</f>
        <v>2120041.4333333336</v>
      </c>
      <c r="U9" s="33">
        <f>T9+R9</f>
        <v>5383908.1000000015</v>
      </c>
      <c r="V9" s="33">
        <f>P9-U9</f>
        <v>67282372.900000006</v>
      </c>
    </row>
    <row r="10" spans="1:22" ht="27" customHeight="1" x14ac:dyDescent="0.45">
      <c r="A10" s="132"/>
      <c r="B10" s="132"/>
      <c r="C10" s="132"/>
      <c r="D10" s="41">
        <f>SUM(D6:D9)</f>
        <v>368900000</v>
      </c>
      <c r="E10" s="42">
        <f>SUM(E6:E9)</f>
        <v>147560000</v>
      </c>
      <c r="F10" s="42">
        <f>SUM(F6:F9)</f>
        <v>516460000</v>
      </c>
      <c r="G10" s="42"/>
      <c r="H10" s="42">
        <f>SUM(H6:H9)</f>
        <v>3616666.666666667</v>
      </c>
      <c r="I10" s="43"/>
      <c r="J10" s="44">
        <f>SUM(J6:J9)</f>
        <v>11012562</v>
      </c>
      <c r="K10" s="42">
        <f>SUM(K6:K9)</f>
        <v>20000000</v>
      </c>
      <c r="L10" s="43"/>
      <c r="M10" s="45">
        <f>SUM(M6:M9)</f>
        <v>74200000</v>
      </c>
      <c r="N10" s="43"/>
      <c r="O10" s="42">
        <f t="shared" ref="O10:V10" si="0">SUM(O6:O9)</f>
        <v>161254545.45454544</v>
      </c>
      <c r="P10" s="41">
        <f t="shared" si="0"/>
        <v>786543774.12121212</v>
      </c>
      <c r="Q10" s="42">
        <f t="shared" si="0"/>
        <v>416318439.33333331</v>
      </c>
      <c r="R10" s="42">
        <f t="shared" si="0"/>
        <v>29142290.753333338</v>
      </c>
      <c r="S10" s="42">
        <f t="shared" si="0"/>
        <v>704017405.33454549</v>
      </c>
      <c r="T10" s="42">
        <f t="shared" si="0"/>
        <v>109379834.79421213</v>
      </c>
      <c r="U10" s="42">
        <f t="shared" si="0"/>
        <v>138522125.54754546</v>
      </c>
      <c r="V10" s="42">
        <f t="shared" si="0"/>
        <v>648021648.57366669</v>
      </c>
    </row>
    <row r="11" spans="1:22" ht="17.25" thickBot="1" x14ac:dyDescent="0.5"/>
    <row r="12" spans="1:22" ht="16.899999999999999" customHeight="1" thickTop="1" thickBot="1" x14ac:dyDescent="0.5">
      <c r="E12" s="47"/>
      <c r="F12" s="47"/>
      <c r="G12" s="47"/>
      <c r="L12" s="136" t="s">
        <v>52</v>
      </c>
      <c r="M12" s="137"/>
      <c r="N12" s="137"/>
      <c r="O12" s="138"/>
    </row>
    <row r="13" spans="1:22" ht="16.899999999999999" customHeight="1" thickTop="1" thickBot="1" x14ac:dyDescent="0.5">
      <c r="A13" s="121" t="s">
        <v>75</v>
      </c>
      <c r="B13" s="122"/>
      <c r="C13" s="48" t="s">
        <v>77</v>
      </c>
      <c r="D13" s="49" t="s">
        <v>78</v>
      </c>
      <c r="E13" s="121" t="s">
        <v>8</v>
      </c>
      <c r="F13" s="122"/>
      <c r="G13" s="48" t="s">
        <v>70</v>
      </c>
      <c r="H13" s="49" t="s">
        <v>71</v>
      </c>
      <c r="I13" s="126"/>
      <c r="J13" s="127"/>
      <c r="L13" s="50" t="s">
        <v>38</v>
      </c>
      <c r="M13" s="51" t="s">
        <v>39</v>
      </c>
      <c r="N13" s="51" t="s">
        <v>40</v>
      </c>
      <c r="O13" s="52" t="s">
        <v>41</v>
      </c>
      <c r="Q13" s="53" t="s">
        <v>21</v>
      </c>
      <c r="R13" s="54">
        <v>611809</v>
      </c>
    </row>
    <row r="14" spans="1:22" ht="20.25" thickTop="1" x14ac:dyDescent="0.45">
      <c r="A14" s="123"/>
      <c r="B14" s="124"/>
      <c r="C14" s="55">
        <v>1750000</v>
      </c>
      <c r="D14" s="56">
        <f>(C14)/30</f>
        <v>58333.333333333336</v>
      </c>
      <c r="E14" s="123"/>
      <c r="F14" s="124"/>
      <c r="G14" s="55">
        <v>611809</v>
      </c>
      <c r="H14" s="56">
        <f>G14*3</f>
        <v>1835427</v>
      </c>
      <c r="I14" s="128"/>
      <c r="J14" s="129"/>
      <c r="L14" s="57">
        <v>0</v>
      </c>
      <c r="M14" s="58">
        <v>30000000</v>
      </c>
      <c r="N14" s="59">
        <v>0</v>
      </c>
      <c r="O14" s="60">
        <f>(M14-L14)*N14</f>
        <v>0</v>
      </c>
      <c r="Q14" s="61" t="s">
        <v>79</v>
      </c>
      <c r="R14" s="62">
        <f>R13*7</f>
        <v>4282663</v>
      </c>
      <c r="T14" s="133" t="s">
        <v>22</v>
      </c>
      <c r="U14" s="134"/>
      <c r="V14" s="135"/>
    </row>
    <row r="15" spans="1:22" ht="38.65" customHeight="1" thickBot="1" x14ac:dyDescent="0.5">
      <c r="A15" s="125" t="s">
        <v>76</v>
      </c>
      <c r="B15" s="119"/>
      <c r="C15" s="119"/>
      <c r="D15" s="120"/>
      <c r="E15" s="118" t="s">
        <v>74</v>
      </c>
      <c r="F15" s="119"/>
      <c r="G15" s="119"/>
      <c r="H15" s="120"/>
      <c r="I15" s="130"/>
      <c r="J15" s="131"/>
      <c r="L15" s="57">
        <f>M14</f>
        <v>30000000</v>
      </c>
      <c r="M15" s="58">
        <v>75000000</v>
      </c>
      <c r="N15" s="63">
        <v>0.1</v>
      </c>
      <c r="O15" s="64">
        <f>(M15-L15)*N15</f>
        <v>4500000</v>
      </c>
      <c r="Q15" s="65" t="s">
        <v>85</v>
      </c>
      <c r="R15" s="66">
        <f>R14*31</f>
        <v>132762553</v>
      </c>
      <c r="T15" s="67" t="s">
        <v>23</v>
      </c>
      <c r="U15" s="68" t="s">
        <v>24</v>
      </c>
      <c r="V15" s="69" t="s">
        <v>25</v>
      </c>
    </row>
    <row r="16" spans="1:22" ht="18.75" thickTop="1" x14ac:dyDescent="0.45">
      <c r="H16" s="70">
        <f>I14*7*31</f>
        <v>0</v>
      </c>
      <c r="L16" s="57">
        <f>M15</f>
        <v>75000000</v>
      </c>
      <c r="M16" s="58">
        <v>105000000</v>
      </c>
      <c r="N16" s="63">
        <v>0.15</v>
      </c>
      <c r="O16" s="64">
        <f>(M16-L16)*N16</f>
        <v>4500000</v>
      </c>
      <c r="T16" s="71" t="s">
        <v>86</v>
      </c>
      <c r="U16" s="72">
        <f>D10</f>
        <v>368900000</v>
      </c>
      <c r="V16" s="73"/>
    </row>
    <row r="17" spans="4:22" ht="18.399999999999999" x14ac:dyDescent="0.45">
      <c r="D17" s="74"/>
      <c r="L17" s="57">
        <f>M16</f>
        <v>105000000</v>
      </c>
      <c r="M17" s="58">
        <v>150000000</v>
      </c>
      <c r="N17" s="63">
        <v>0.2</v>
      </c>
      <c r="O17" s="64">
        <f>(M17-L17)*N17</f>
        <v>9000000</v>
      </c>
      <c r="T17" s="71" t="s">
        <v>3</v>
      </c>
      <c r="U17" s="72">
        <f>E10</f>
        <v>147560000</v>
      </c>
      <c r="V17" s="73"/>
    </row>
    <row r="18" spans="4:22" ht="18.75" thickBot="1" x14ac:dyDescent="0.5">
      <c r="D18" s="74"/>
      <c r="L18" s="75">
        <f>M17</f>
        <v>150000000</v>
      </c>
      <c r="M18" s="76">
        <v>999999999</v>
      </c>
      <c r="N18" s="77">
        <v>0.25</v>
      </c>
      <c r="O18" s="78">
        <f>(M18-L18)*N18</f>
        <v>212499999.75</v>
      </c>
      <c r="P18" s="79"/>
      <c r="Q18" s="70"/>
      <c r="T18" s="71" t="s">
        <v>4</v>
      </c>
      <c r="U18" s="72">
        <f>H10</f>
        <v>3616666.666666667</v>
      </c>
      <c r="V18" s="73"/>
    </row>
    <row r="19" spans="4:22" ht="18.75" thickTop="1" x14ac:dyDescent="0.45">
      <c r="D19" s="74"/>
      <c r="L19" s="80"/>
      <c r="Q19" s="81"/>
      <c r="T19" s="71" t="s">
        <v>5</v>
      </c>
      <c r="U19" s="72">
        <f>J10</f>
        <v>11012562</v>
      </c>
      <c r="V19" s="73"/>
    </row>
    <row r="20" spans="4:22" ht="36.75" x14ac:dyDescent="0.45">
      <c r="D20" s="74"/>
      <c r="T20" s="71" t="s">
        <v>6</v>
      </c>
      <c r="U20" s="72">
        <f>K10</f>
        <v>20000000</v>
      </c>
      <c r="V20" s="73"/>
    </row>
    <row r="21" spans="4:22" ht="18.399999999999999" x14ac:dyDescent="0.45">
      <c r="D21" s="74"/>
      <c r="T21" s="71" t="s">
        <v>9</v>
      </c>
      <c r="U21" s="72">
        <f>M10</f>
        <v>74200000</v>
      </c>
      <c r="V21" s="73"/>
    </row>
    <row r="22" spans="4:22" ht="18.399999999999999" x14ac:dyDescent="0.45">
      <c r="T22" s="71" t="s">
        <v>14</v>
      </c>
      <c r="U22" s="72">
        <f>O10</f>
        <v>161254545.45454544</v>
      </c>
      <c r="V22" s="73"/>
    </row>
    <row r="23" spans="4:22" ht="18.399999999999999" x14ac:dyDescent="0.45">
      <c r="R23" s="81"/>
      <c r="T23" s="82" t="s">
        <v>26</v>
      </c>
      <c r="U23" s="72">
        <f>Q10*23%</f>
        <v>95753241.046666667</v>
      </c>
      <c r="V23" s="73"/>
    </row>
    <row r="24" spans="4:22" ht="18.399999999999999" x14ac:dyDescent="0.45">
      <c r="T24" s="82" t="s">
        <v>27</v>
      </c>
      <c r="U24" s="72"/>
      <c r="V24" s="73">
        <f>T10</f>
        <v>109379834.79421213</v>
      </c>
    </row>
    <row r="25" spans="4:22" ht="18.399999999999999" x14ac:dyDescent="0.45">
      <c r="S25" s="83"/>
      <c r="T25" s="82" t="s">
        <v>28</v>
      </c>
      <c r="U25" s="72"/>
      <c r="V25" s="73">
        <f>U23+R10</f>
        <v>124895531.80000001</v>
      </c>
    </row>
    <row r="26" spans="4:22" ht="18.399999999999999" x14ac:dyDescent="0.45">
      <c r="T26" s="82" t="s">
        <v>29</v>
      </c>
      <c r="U26" s="72"/>
      <c r="V26" s="73">
        <f>V10</f>
        <v>648021648.57366669</v>
      </c>
    </row>
    <row r="27" spans="4:22" ht="18.75" thickBot="1" x14ac:dyDescent="0.5">
      <c r="T27" s="84" t="s">
        <v>80</v>
      </c>
      <c r="U27" s="85">
        <f>SUM(U16:U26)</f>
        <v>882297015.16787887</v>
      </c>
      <c r="V27" s="86">
        <f>SUM(V16:V26)</f>
        <v>882297015.16787887</v>
      </c>
    </row>
    <row r="28" spans="4:22" ht="17.25" thickTop="1" x14ac:dyDescent="0.45">
      <c r="V28" s="70">
        <f>V27-U27</f>
        <v>0</v>
      </c>
    </row>
  </sheetData>
  <mergeCells count="13">
    <mergeCell ref="A10:C10"/>
    <mergeCell ref="T14:V14"/>
    <mergeCell ref="L12:O12"/>
    <mergeCell ref="A1:V1"/>
    <mergeCell ref="A2:V2"/>
    <mergeCell ref="A3:V3"/>
    <mergeCell ref="E13:F14"/>
    <mergeCell ref="E15:H15"/>
    <mergeCell ref="A13:B14"/>
    <mergeCell ref="A15:D15"/>
    <mergeCell ref="I13:J13"/>
    <mergeCell ref="I14:J14"/>
    <mergeCell ref="I15:J15"/>
  </mergeCells>
  <pageMargins left="0.19685039370078741" right="0.19685039370078741" top="0.35433070866141736" bottom="0.33" header="0.19685039370078741" footer="0.2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19"/>
  <sheetViews>
    <sheetView rightToLeft="1" zoomScale="110" zoomScaleNormal="110" workbookViewId="0">
      <selection activeCell="B17" sqref="B17:F17"/>
    </sheetView>
  </sheetViews>
  <sheetFormatPr defaultColWidth="9" defaultRowHeight="16.899999999999999" x14ac:dyDescent="0.8"/>
  <cols>
    <col min="1" max="1" width="17.9296875" style="1" customWidth="1"/>
    <col min="2" max="2" width="14.73046875" style="1" bestFit="1" customWidth="1"/>
    <col min="3" max="3" width="16" style="1" customWidth="1"/>
    <col min="4" max="4" width="17.33203125" style="1" customWidth="1"/>
    <col min="5" max="5" width="9" style="1"/>
    <col min="6" max="6" width="13.73046875" style="1" bestFit="1" customWidth="1"/>
    <col min="7" max="16384" width="9" style="1"/>
  </cols>
  <sheetData>
    <row r="1" spans="1:8" ht="32.25" customHeight="1" x14ac:dyDescent="0.8">
      <c r="A1" s="140" t="s">
        <v>81</v>
      </c>
      <c r="B1" s="140"/>
      <c r="C1" s="140"/>
      <c r="D1" s="140"/>
      <c r="E1" s="140"/>
      <c r="F1" s="140"/>
      <c r="H1" s="1">
        <v>14</v>
      </c>
    </row>
    <row r="2" spans="1:8" ht="25.9" customHeight="1" x14ac:dyDescent="0.8">
      <c r="A2" s="141" t="s">
        <v>30</v>
      </c>
      <c r="B2" s="141"/>
      <c r="C2" s="141"/>
      <c r="D2" s="141"/>
      <c r="E2" s="141"/>
      <c r="F2" s="141"/>
    </row>
    <row r="3" spans="1:8" ht="31.5" customHeight="1" x14ac:dyDescent="0.8">
      <c r="A3" s="142" t="s">
        <v>82</v>
      </c>
      <c r="B3" s="142"/>
      <c r="C3" s="142"/>
      <c r="D3" s="142"/>
      <c r="E3" s="142"/>
      <c r="F3" s="142"/>
    </row>
    <row r="4" spans="1:8" ht="18.399999999999999" x14ac:dyDescent="0.85">
      <c r="A4" s="87" t="s">
        <v>31</v>
      </c>
      <c r="B4" s="88"/>
      <c r="C4" s="88"/>
      <c r="D4" s="88" t="s">
        <v>0</v>
      </c>
      <c r="E4" s="88">
        <v>1004</v>
      </c>
      <c r="F4" s="89"/>
    </row>
    <row r="5" spans="1:8" ht="18.75" thickBot="1" x14ac:dyDescent="0.9">
      <c r="A5" s="90" t="s">
        <v>1</v>
      </c>
      <c r="B5" s="91" t="str">
        <f>VLOOKUP(E4,'اطلاعات کارکرد فروردین ماه 99'!A5:C9,2,0)</f>
        <v>نوید محمدزاده</v>
      </c>
      <c r="C5" s="91"/>
      <c r="D5" s="91"/>
      <c r="E5" s="91"/>
      <c r="F5" s="92"/>
    </row>
    <row r="6" spans="1:8" ht="6" customHeight="1" thickBot="1" x14ac:dyDescent="0.85"/>
    <row r="7" spans="1:8" ht="17.25" thickBot="1" x14ac:dyDescent="0.85">
      <c r="A7" s="143" t="s">
        <v>32</v>
      </c>
      <c r="B7" s="144"/>
      <c r="C7" s="144"/>
      <c r="D7" s="144"/>
      <c r="E7" s="144"/>
      <c r="F7" s="145"/>
    </row>
    <row r="8" spans="1:8" x14ac:dyDescent="0.8">
      <c r="A8" s="93" t="s">
        <v>33</v>
      </c>
      <c r="B8" s="94"/>
      <c r="C8" s="94"/>
      <c r="D8" s="93" t="s">
        <v>34</v>
      </c>
      <c r="E8" s="94"/>
      <c r="F8" s="95"/>
    </row>
    <row r="9" spans="1:8" ht="18" x14ac:dyDescent="0.9">
      <c r="A9" s="96" t="s">
        <v>2</v>
      </c>
      <c r="B9" s="97"/>
      <c r="C9" s="98">
        <f>VLOOKUP(E4,'اطلاعات کارکرد فروردین ماه 99'!A5:E9,4,0)</f>
        <v>22733333.333333336</v>
      </c>
      <c r="D9" s="99" t="str">
        <f>'اطلاعات کارکرد فروردین ماه 99'!R5</f>
        <v>بیمه سهم کارمند</v>
      </c>
      <c r="E9" s="97"/>
      <c r="F9" s="100">
        <f>VLOOKUP($E$4,'اطلاعات کارکرد فروردین ماه 99'!$A$5:$T$9,18,0)</f>
        <v>3263866.6666666674</v>
      </c>
    </row>
    <row r="10" spans="1:8" ht="18" x14ac:dyDescent="0.9">
      <c r="A10" s="96" t="s">
        <v>3</v>
      </c>
      <c r="B10" s="97"/>
      <c r="C10" s="98">
        <f>VLOOKUP($E$4,'اطلاعات کارکرد فروردین ماه 99'!$A$5:$T$9,5,0)</f>
        <v>9093333.3333333321</v>
      </c>
      <c r="D10" s="99" t="str">
        <f>'اطلاعات کارکرد فروردین ماه 99'!T5</f>
        <v>مالیات</v>
      </c>
      <c r="E10" s="97"/>
      <c r="F10" s="100">
        <f>VLOOKUP($E$4,'اطلاعات کارکرد فروردین ماه 99'!$A$5:$T$9,20,0)</f>
        <v>2120041.4333333336</v>
      </c>
    </row>
    <row r="11" spans="1:8" x14ac:dyDescent="0.8">
      <c r="A11" s="96" t="s">
        <v>4</v>
      </c>
      <c r="B11" s="97"/>
      <c r="C11" s="98">
        <f>VLOOKUP($E$4,'اطلاعات کارکرد فروردین ماه 99'!$A$5:$T$9,8,0)</f>
        <v>0</v>
      </c>
      <c r="D11" s="101"/>
      <c r="E11" s="97"/>
      <c r="F11" s="102"/>
    </row>
    <row r="12" spans="1:8" x14ac:dyDescent="0.8">
      <c r="A12" s="96" t="s">
        <v>5</v>
      </c>
      <c r="B12" s="97"/>
      <c r="C12" s="98">
        <f>VLOOKUP($E$4,'اطلاعات کارکرد فروردین ماه 99'!$A$5:$T$9,10,0)</f>
        <v>5506281</v>
      </c>
      <c r="D12" s="101"/>
      <c r="E12" s="97"/>
      <c r="F12" s="102"/>
    </row>
    <row r="13" spans="1:8" x14ac:dyDescent="0.8">
      <c r="A13" s="96" t="s">
        <v>6</v>
      </c>
      <c r="B13" s="97"/>
      <c r="C13" s="98">
        <f>VLOOKUP($E$4,'اطلاعات کارکرد فروردین ماه 99'!$A$5:$T$9,11,0)</f>
        <v>5000000</v>
      </c>
      <c r="D13" s="101"/>
      <c r="E13" s="97"/>
      <c r="F13" s="102"/>
    </row>
    <row r="14" spans="1:8" x14ac:dyDescent="0.8">
      <c r="A14" s="96" t="s">
        <v>9</v>
      </c>
      <c r="B14" s="97"/>
      <c r="C14" s="98">
        <f>VLOOKUP($E$4,'اطلاعات کارکرد فروردین ماه 99'!$A$5:$T$9,13,0)</f>
        <v>20533333.333333332</v>
      </c>
      <c r="D14" s="101"/>
      <c r="E14" s="97"/>
      <c r="F14" s="102"/>
    </row>
    <row r="15" spans="1:8" ht="17.25" thickBot="1" x14ac:dyDescent="0.85">
      <c r="A15" s="103" t="s">
        <v>14</v>
      </c>
      <c r="B15" s="104"/>
      <c r="C15" s="105">
        <f>VLOOKUP($E$4,'اطلاعات کارکرد فروردین ماه 99'!$A$5:$T$9,15,0)</f>
        <v>9800000</v>
      </c>
      <c r="D15" s="106"/>
      <c r="E15" s="104"/>
      <c r="F15" s="107"/>
    </row>
    <row r="16" spans="1:8" ht="18.399999999999999" thickBot="1" x14ac:dyDescent="0.95">
      <c r="A16" s="108" t="s">
        <v>35</v>
      </c>
      <c r="B16" s="109"/>
      <c r="C16" s="109">
        <f>SUM(C9:C15)</f>
        <v>72666281</v>
      </c>
      <c r="D16" s="110" t="s">
        <v>36</v>
      </c>
      <c r="E16" s="110"/>
      <c r="F16" s="111">
        <f>SUM(F9:F15)</f>
        <v>5383908.1000000015</v>
      </c>
    </row>
    <row r="17" spans="1:6" ht="27" x14ac:dyDescent="0.8">
      <c r="A17" s="146" t="s">
        <v>20</v>
      </c>
      <c r="B17" s="147">
        <f>ROUNDUP(C16-F16,0)</f>
        <v>67282373</v>
      </c>
      <c r="C17" s="147"/>
      <c r="D17" s="147"/>
      <c r="E17" s="147"/>
      <c r="F17" s="148"/>
    </row>
    <row r="18" spans="1:6" ht="17.25" thickBot="1" x14ac:dyDescent="0.85">
      <c r="A18" s="112"/>
      <c r="B18" s="113"/>
      <c r="C18" s="113"/>
      <c r="D18" s="113"/>
      <c r="E18" s="113"/>
      <c r="F18" s="114"/>
    </row>
    <row r="19" spans="1:6" x14ac:dyDescent="0.8">
      <c r="C19" s="2"/>
    </row>
  </sheetData>
  <mergeCells count="5">
    <mergeCell ref="A1:F1"/>
    <mergeCell ref="A2:F2"/>
    <mergeCell ref="A3:F3"/>
    <mergeCell ref="A7:F7"/>
    <mergeCell ref="B17:F17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pinner 2">
              <controlPr defaultSize="0" autoPict="0">
                <anchor moveWithCells="1" sizeWithCells="1">
                  <from>
                    <xdr:col>7</xdr:col>
                    <xdr:colOff>85725</xdr:colOff>
                    <xdr:row>3</xdr:row>
                    <xdr:rowOff>19050</xdr:rowOff>
                  </from>
                  <to>
                    <xdr:col>8</xdr:col>
                    <xdr:colOff>552450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rightToLeft="1" workbookViewId="0">
      <selection activeCell="G9" sqref="G9"/>
    </sheetView>
  </sheetViews>
  <sheetFormatPr defaultRowHeight="14.25" x14ac:dyDescent="0.45"/>
  <cols>
    <col min="1" max="1" width="17.3984375" bestFit="1" customWidth="1"/>
    <col min="2" max="2" width="12.59765625" bestFit="1" customWidth="1"/>
    <col min="5" max="5" width="11.3984375" bestFit="1" customWidth="1"/>
    <col min="6" max="7" width="13.73046875" bestFit="1" customWidth="1"/>
    <col min="8" max="8" width="11.1328125" bestFit="1" customWidth="1"/>
  </cols>
  <sheetData>
    <row r="1" spans="1:8" x14ac:dyDescent="0.45">
      <c r="A1" t="s">
        <v>43</v>
      </c>
      <c r="B1" s="3">
        <f>'اطلاعات کارکرد فروردین ماه 99'!P6</f>
        <v>113702093.66666666</v>
      </c>
    </row>
    <row r="2" spans="1:8" x14ac:dyDescent="0.45">
      <c r="A2" t="s">
        <v>44</v>
      </c>
      <c r="B2" s="3">
        <f>'اطلاعات کارکرد فروردین ماه 99'!Q6</f>
        <v>104166666.66666666</v>
      </c>
    </row>
    <row r="3" spans="1:8" x14ac:dyDescent="0.45">
      <c r="A3" t="s">
        <v>45</v>
      </c>
      <c r="B3" s="4">
        <v>1100000</v>
      </c>
      <c r="E3" t="s">
        <v>47</v>
      </c>
      <c r="F3" s="3">
        <f>'اطلاعات کارکرد فروردین ماه 99'!G6</f>
        <v>2566666.6666666665</v>
      </c>
    </row>
    <row r="4" spans="1:8" x14ac:dyDescent="0.45">
      <c r="A4" t="s">
        <v>46</v>
      </c>
      <c r="B4" s="3">
        <f>B2-B3</f>
        <v>103066666.66666666</v>
      </c>
      <c r="E4" t="s">
        <v>7</v>
      </c>
      <c r="F4">
        <v>31</v>
      </c>
    </row>
    <row r="5" spans="1:8" x14ac:dyDescent="0.45">
      <c r="A5" t="s">
        <v>42</v>
      </c>
      <c r="B5" s="4">
        <f>B4/31</f>
        <v>3324731.1827956988</v>
      </c>
      <c r="E5" t="s">
        <v>48</v>
      </c>
      <c r="F5" s="5">
        <f>F3*F4</f>
        <v>79566666.666666657</v>
      </c>
      <c r="G5" s="4">
        <f>F5</f>
        <v>79566666.666666657</v>
      </c>
      <c r="H5" s="6">
        <f>G5+G6+G7</f>
        <v>87615124.666666657</v>
      </c>
    </row>
    <row r="6" spans="1:8" x14ac:dyDescent="0.45">
      <c r="E6" t="s">
        <v>49</v>
      </c>
      <c r="F6">
        <v>1500000</v>
      </c>
      <c r="G6" s="4">
        <f>F6</f>
        <v>1500000</v>
      </c>
    </row>
    <row r="7" spans="1:8" x14ac:dyDescent="0.45">
      <c r="E7" t="s">
        <v>51</v>
      </c>
      <c r="F7" s="3">
        <f>'اطلاعات کارکرد فروردین ماه 99'!O6</f>
        <v>19599999.999999996</v>
      </c>
      <c r="G7" s="4">
        <v>6548458</v>
      </c>
    </row>
    <row r="8" spans="1:8" x14ac:dyDescent="0.45">
      <c r="E8" t="s">
        <v>50</v>
      </c>
      <c r="F8" s="5">
        <f>F5+F6+F7</f>
        <v>100666666.66666666</v>
      </c>
      <c r="G8">
        <v>80381791</v>
      </c>
    </row>
    <row r="9" spans="1:8" x14ac:dyDescent="0.45">
      <c r="G9" s="5">
        <f>G8-F8</f>
        <v>-20284875.666666657</v>
      </c>
    </row>
    <row r="11" spans="1:8" x14ac:dyDescent="0.45">
      <c r="G11" s="3">
        <f>F7-G7</f>
        <v>13051541.999999996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اطلاعات احکام پرسنلی</vt:lpstr>
      <vt:lpstr>اطلاعات کارکرد فروردین ماه 99</vt:lpstr>
      <vt:lpstr>فیش حقوقی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2020-05-07T07:49:53Z</dcterms:modified>
</cp:coreProperties>
</file>