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filterPrivacy="1" defaultThemeVersion="124226"/>
  <xr:revisionPtr revIDLastSave="0" documentId="13_ncr:1_{BC500125-BB28-4D78-B69E-FA958A7C2D5C}" xr6:coauthVersionLast="45" xr6:coauthVersionMax="45" xr10:uidLastSave="{00000000-0000-0000-0000-000000000000}"/>
  <bookViews>
    <workbookView xWindow="-98" yWindow="-98" windowWidth="20715" windowHeight="13276" tabRatio="598" xr2:uid="{00000000-000D-0000-FFFF-FFFF00000000}"/>
  </bookViews>
  <sheets>
    <sheet name="اطلاعات احکام پرسنلی" sheetId="1" r:id="rId1"/>
    <sheet name="اطلاعات کارکرد فروردین 1400" sheetId="2" r:id="rId2"/>
    <sheet name="فیش حقوقی" sheetId="3" r:id="rId3"/>
    <sheet name="محاسبه مالیات حقوق 1400" sheetId="5" r:id="rId4"/>
    <sheet name="Sheet1" sheetId="4" state="hidden" r:id="rId5"/>
  </sheets>
  <calcPr calcId="181029"/>
</workbook>
</file>

<file path=xl/calcChain.xml><?xml version="1.0" encoding="utf-8"?>
<calcChain xmlns="http://schemas.openxmlformats.org/spreadsheetml/2006/main">
  <c r="R14" i="2" l="1"/>
  <c r="P7" i="2" l="1"/>
  <c r="P8" i="2"/>
  <c r="P9" i="2"/>
  <c r="P6" i="2"/>
  <c r="U18" i="2"/>
  <c r="B10" i="5"/>
  <c r="B9" i="5"/>
  <c r="I8" i="5"/>
  <c r="G8" i="5"/>
  <c r="B8" i="5"/>
  <c r="I7" i="5"/>
  <c r="G7" i="5"/>
  <c r="B7" i="5"/>
  <c r="I6" i="5"/>
  <c r="G6" i="5"/>
  <c r="B6" i="5"/>
  <c r="I5" i="5"/>
  <c r="G5" i="5"/>
  <c r="B5" i="5"/>
  <c r="I4" i="5"/>
  <c r="G4" i="5"/>
  <c r="B4" i="5"/>
  <c r="I3" i="5"/>
  <c r="G3" i="5"/>
  <c r="B3" i="5"/>
  <c r="L19" i="2" l="1"/>
  <c r="O19" i="2" s="1"/>
  <c r="L20" i="2"/>
  <c r="O20" i="2" s="1"/>
  <c r="Q7" i="2"/>
  <c r="Q6" i="2"/>
  <c r="O7" i="2"/>
  <c r="O6" i="2"/>
  <c r="F7" i="1"/>
  <c r="F6" i="1"/>
  <c r="M7" i="2"/>
  <c r="M6" i="2"/>
  <c r="F7" i="2"/>
  <c r="F6" i="2"/>
  <c r="I9" i="2" l="1"/>
  <c r="I8" i="2"/>
  <c r="I7" i="2"/>
  <c r="I6" i="2"/>
  <c r="K7" i="2"/>
  <c r="K8" i="2"/>
  <c r="K9" i="2"/>
  <c r="K6" i="2"/>
  <c r="D14" i="2"/>
  <c r="H8" i="2" s="1"/>
  <c r="H14" i="2"/>
  <c r="B6" i="2"/>
  <c r="D6" i="2"/>
  <c r="B7" i="2"/>
  <c r="D7" i="2"/>
  <c r="B8" i="2"/>
  <c r="D8" i="2"/>
  <c r="B9" i="2"/>
  <c r="D9" i="2"/>
  <c r="B5" i="3" l="1"/>
  <c r="H7" i="2"/>
  <c r="C11" i="3" s="1"/>
  <c r="D10" i="2"/>
  <c r="L16" i="2"/>
  <c r="L17" i="2"/>
  <c r="L18" i="2"/>
  <c r="L15" i="2"/>
  <c r="G6" i="4" l="1"/>
  <c r="C9" i="3"/>
  <c r="O15" i="2"/>
  <c r="O16" i="2"/>
  <c r="O17" i="2"/>
  <c r="O18" i="2"/>
  <c r="O14" i="2"/>
  <c r="C13" i="3"/>
  <c r="D10" i="3" l="1"/>
  <c r="D9" i="3"/>
  <c r="R15" i="2"/>
  <c r="K10" i="2" l="1"/>
  <c r="U20" i="2" s="1"/>
  <c r="H16" i="2" l="1"/>
  <c r="E7" i="1"/>
  <c r="E8" i="1"/>
  <c r="F8" i="1" s="1"/>
  <c r="O8" i="2" s="1"/>
  <c r="E9" i="1"/>
  <c r="F9" i="1" s="1"/>
  <c r="O9" i="2" s="1"/>
  <c r="E6" i="1"/>
  <c r="E9" i="2" l="1"/>
  <c r="F9" i="2" s="1"/>
  <c r="M9" i="2" s="1"/>
  <c r="E8" i="2"/>
  <c r="E7" i="2"/>
  <c r="G7" i="2" s="1"/>
  <c r="E6" i="2"/>
  <c r="J7" i="2"/>
  <c r="J8" i="2"/>
  <c r="J9" i="2"/>
  <c r="J6" i="2"/>
  <c r="C12" i="3" s="1"/>
  <c r="H10" i="2"/>
  <c r="U16" i="2"/>
  <c r="G9" i="2" l="1"/>
  <c r="F8" i="2"/>
  <c r="M8" i="2" s="1"/>
  <c r="J10" i="2"/>
  <c r="U19" i="2" s="1"/>
  <c r="C15" i="3"/>
  <c r="C10" i="3"/>
  <c r="E10" i="2"/>
  <c r="U17" i="2" s="1"/>
  <c r="G8" i="2" l="1"/>
  <c r="C14" i="3"/>
  <c r="G6" i="2"/>
  <c r="F10" i="2"/>
  <c r="M10" i="2"/>
  <c r="U21" i="2" s="1"/>
  <c r="F7" i="4"/>
  <c r="G11" i="4" s="1"/>
  <c r="O10" i="2"/>
  <c r="U22" i="2" s="1"/>
  <c r="Q9" i="2" l="1"/>
  <c r="R9" i="2" s="1"/>
  <c r="S9" i="2" s="1"/>
  <c r="T9" i="2" s="1"/>
  <c r="Q8" i="2"/>
  <c r="R8" i="2" s="1"/>
  <c r="S8" i="2" s="1"/>
  <c r="T8" i="2" s="1"/>
  <c r="R7" i="2"/>
  <c r="S7" i="2" s="1"/>
  <c r="T7" i="2" s="1"/>
  <c r="P10" i="2"/>
  <c r="B1" i="4"/>
  <c r="F3" i="4"/>
  <c r="F5" i="4" s="1"/>
  <c r="C16" i="3"/>
  <c r="F9" i="3" l="1"/>
  <c r="U9" i="2"/>
  <c r="V9" i="2" s="1"/>
  <c r="U7" i="2"/>
  <c r="V7" i="2" s="1"/>
  <c r="Q10" i="2"/>
  <c r="U23" i="2" s="1"/>
  <c r="U27" i="2" s="1"/>
  <c r="U8" i="2"/>
  <c r="V8" i="2" s="1"/>
  <c r="G5" i="4"/>
  <c r="H5" i="4" s="1"/>
  <c r="F8" i="4"/>
  <c r="G9" i="4" s="1"/>
  <c r="R6" i="2"/>
  <c r="S6" i="2" s="1"/>
  <c r="T6" i="2" s="1"/>
  <c r="B2" i="4"/>
  <c r="B4" i="4" s="1"/>
  <c r="B5" i="4" s="1"/>
  <c r="R10" i="2" l="1"/>
  <c r="V25" i="2" s="1"/>
  <c r="F10" i="3" l="1"/>
  <c r="F16" i="3" s="1"/>
  <c r="B17" i="3" s="1"/>
  <c r="S10" i="2"/>
  <c r="T10" i="2" l="1"/>
  <c r="V24" i="2" s="1"/>
  <c r="U6" i="2"/>
  <c r="U10" i="2" l="1"/>
  <c r="V6" i="2"/>
  <c r="V10" i="2" s="1"/>
  <c r="V26" i="2" s="1"/>
  <c r="V27" i="2" l="1"/>
  <c r="V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" authorId="0" shapeId="0" xr:uid="{58872E49-ABFC-4D91-A3CC-2D5A458B6CA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اطلاعاتی که در قرارداد درج می شود بر مبنای 30 روز است و برای محاسبه در ماه های مختلف باید تعداد روز آن ماه را در نظر بگیریم</t>
        </r>
      </text>
    </comment>
    <comment ref="E5" authorId="0" shapeId="0" xr:uid="{701F8E76-8469-48D6-8722-9A89304801B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یک عامل به تبع شغل است که به منظور جذب نیروی تخصصی بوده و جزء حقوق ومزایای مستمر است و جهت جبران کسری حقوق به پایه حقوق اضافه می گردد
 در خصوص جذب در مناطق محروم نیز استفاده میگردد.</t>
        </r>
      </text>
    </comment>
    <comment ref="F5" authorId="0" shapeId="0" xr:uid="{A6DD93CB-C50A-4FB3-A6D9-C080846A191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ماخذ محاسبه عواملی چون اضافه کار و حق ماموریت است</t>
        </r>
      </text>
    </comment>
    <comment ref="G5" authorId="0" shapeId="0" xr:uid="{557E449A-07F5-4BBB-9E77-24EBB038330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مزایای به تبع قانون است و به فردی تعلق می‌گیرد که حداقل یکسال سابقه کار در آن کارگاه را داشته باشد</t>
        </r>
      </text>
    </comment>
    <comment ref="H5" authorId="0" shapeId="0" xr:uid="{E37E0E3F-CD65-4E7F-9A7A-7063EC897F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اگر دارای فرزند باشد و همچنین دارای حداقل 720 روز سابقه بیمه، مشمول دریافت حق اولاد است
حق اولاد برابر است با 3 روز حداقل حقوق مصوب شورای عالی کار
از سال 92 به بعد محدودیت تعداد نداریم
برای اولاد پسر به شرط اشتغال به تحصیل 
برای اولاد دختر به شرط عدم اشتغال و تا زمان ازدواج</t>
        </r>
      </text>
    </comment>
    <comment ref="I5" authorId="0" shapeId="0" xr:uid="{57FD8076-355D-4122-8482-290C2D26043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  <comment ref="J5" authorId="0" shapeId="0" xr:uid="{29028A66-F575-4A20-8265-4885827CCC5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777523E3-119F-49BA-A997-7212963AF2A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حقوق و مزایای مشمول بیمه حداکثر می تواند 7 برابر حداقل حقوق آن ماه باشد
در این جدول لازم است حق ماموریت و حق اولاد را از جمع حقوق و مزایا کسر کنیم چراکه این دو مشمول بیمه نیستند</t>
        </r>
      </text>
    </comment>
    <comment ref="S5" authorId="0" shapeId="0" xr:uid="{51DFABFC-AA29-4485-B7A6-6AE12B52397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حق ماموریت - از مالیات حقوق معاف است
  و دوهفتم بیمه سهم کارمند - نوعی معافیت است
را از جمع حقوق و مزایا کسر می کنیم</t>
        </r>
      </text>
    </comment>
    <comment ref="U5" authorId="0" shapeId="0" xr:uid="{14634785-1080-443D-A461-7B21D0E705F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جمع کسورات قانونی برابر است با جمع بیمه و مالیات قابل پرداخت کارمند</t>
        </r>
      </text>
    </comment>
  </commentList>
</comments>
</file>

<file path=xl/sharedStrings.xml><?xml version="1.0" encoding="utf-8"?>
<sst xmlns="http://schemas.openxmlformats.org/spreadsheetml/2006/main" count="126" uniqueCount="103">
  <si>
    <t>شماره پرسنلی</t>
  </si>
  <si>
    <t>نام و نام خانوادگی</t>
  </si>
  <si>
    <t xml:space="preserve">میلغ حقوق </t>
  </si>
  <si>
    <t>حق جذب</t>
  </si>
  <si>
    <t>پایه سنوات</t>
  </si>
  <si>
    <t>حق اولاد</t>
  </si>
  <si>
    <t>حق خواروبار  و مسکن</t>
  </si>
  <si>
    <t>تعداد روز کارکرد</t>
  </si>
  <si>
    <t>مبنای حق اولاد</t>
  </si>
  <si>
    <t>حق ماموریت</t>
  </si>
  <si>
    <t>تعداد روز ماموریت</t>
  </si>
  <si>
    <t>تاریخ استخدام</t>
  </si>
  <si>
    <t>اضافه کار ساعت</t>
  </si>
  <si>
    <t>تعداد اولاد</t>
  </si>
  <si>
    <t>مبلغ اضافه کار</t>
  </si>
  <si>
    <t>جمع حقوق و مزایا</t>
  </si>
  <si>
    <t>حقوق و مزایای مشمول بیمه</t>
  </si>
  <si>
    <t>بیمه سهم کارمند</t>
  </si>
  <si>
    <t>حقوق و مزایای مشمول مالیات</t>
  </si>
  <si>
    <t>مالیات</t>
  </si>
  <si>
    <t>جمع کسورات قانونی</t>
  </si>
  <si>
    <t>قابل پرداخت</t>
  </si>
  <si>
    <t>حداقل حقوق روزانه</t>
  </si>
  <si>
    <t>سند حسابداری</t>
  </si>
  <si>
    <t>نام حساب</t>
  </si>
  <si>
    <t>بدهکار</t>
  </si>
  <si>
    <t>بستانکار</t>
  </si>
  <si>
    <t>سهم بیمه کارفرما</t>
  </si>
  <si>
    <t>مالیات پرداختنی</t>
  </si>
  <si>
    <t>بیمه پرداختنی</t>
  </si>
  <si>
    <t>حقوق پرداختنی</t>
  </si>
  <si>
    <t>فیش حقوقی</t>
  </si>
  <si>
    <t>اطلاعات کارمند</t>
  </si>
  <si>
    <t>اطلاعات مربوط به حقوق</t>
  </si>
  <si>
    <t>مزایا</t>
  </si>
  <si>
    <t>کسورات قانونی</t>
  </si>
  <si>
    <t>جمع مزایا</t>
  </si>
  <si>
    <t>جمع کسورات</t>
  </si>
  <si>
    <t>جمع حقوق و مزایای به تبع شغل</t>
  </si>
  <si>
    <t>از</t>
  </si>
  <si>
    <t>تا</t>
  </si>
  <si>
    <t>نرخ</t>
  </si>
  <si>
    <t>مالیات طبقه</t>
  </si>
  <si>
    <t>حقوق روزانه</t>
  </si>
  <si>
    <t>جمع مشمول و غیر مشمول</t>
  </si>
  <si>
    <t>جمع درامد مشمول بیمه</t>
  </si>
  <si>
    <t>خواروبار</t>
  </si>
  <si>
    <t>جمع حقوق ماهانه مشمول</t>
  </si>
  <si>
    <t>دستمزد روانه</t>
  </si>
  <si>
    <t>جمع ماهانه</t>
  </si>
  <si>
    <t>خواروبار و مسکن</t>
  </si>
  <si>
    <t>جمع مشمول بیمه</t>
  </si>
  <si>
    <t>اضافه کار</t>
  </si>
  <si>
    <t>جدول مالیات- ماهانه</t>
  </si>
  <si>
    <t>حسابنو - آموزش و مشاوره مالیات</t>
  </si>
  <si>
    <t>میلغ حقوق پایه</t>
  </si>
  <si>
    <t xml:space="preserve">شرکت نمونه </t>
  </si>
  <si>
    <t>اطلاعات احکام پرسنلی ( حقوق و دستمزد کارکنان)</t>
  </si>
  <si>
    <t>محمدرضا گلزار</t>
  </si>
  <si>
    <t>نوید محمدزاده</t>
  </si>
  <si>
    <t>رامبد جوان</t>
  </si>
  <si>
    <t>احسان علی‌خانی</t>
  </si>
  <si>
    <t>حق خواروبار</t>
  </si>
  <si>
    <t>حق مسکن</t>
  </si>
  <si>
    <t>عیدی و پاداش</t>
  </si>
  <si>
    <t>حقوق پایه</t>
  </si>
  <si>
    <t>مزد روزانه</t>
  </si>
  <si>
    <t>مبلغ حق اولاد</t>
  </si>
  <si>
    <t>حقوق و مزایای
 به تبع شغل</t>
  </si>
  <si>
    <t>حق اولاد برای هر فرزند برابر است با 3 روز حداقل دستمزد روزانه</t>
  </si>
  <si>
    <t>مبنای پایه سنوات</t>
  </si>
  <si>
    <t>پایه سنوات به فردی تعلق می‌گیرد که بیش از یکسال در آن مجموعه
مشغول به کار باشد</t>
  </si>
  <si>
    <t>پایه سنوات 30 روز</t>
  </si>
  <si>
    <t>پایه سنوات روزانه</t>
  </si>
  <si>
    <t>هفت برابر حداقل حقوق روزانه</t>
  </si>
  <si>
    <t xml:space="preserve"> جمع (تراز)</t>
  </si>
  <si>
    <t>حسابنو (آموزش و مشاوره مالی و مالیاتی)</t>
  </si>
  <si>
    <t>حسابنو - آموزش و مشاوره مالی و مالیاتی</t>
  </si>
  <si>
    <t>تعداد
اولاد</t>
  </si>
  <si>
    <r>
      <t xml:space="preserve">سی‌ویک  روز </t>
    </r>
    <r>
      <rPr>
        <b/>
        <sz val="11"/>
        <color rgb="FFFF0000"/>
        <rFont val="B Nazanin"/>
        <charset val="178"/>
      </rPr>
      <t>حداکثر حقوق مشمول بیمه</t>
    </r>
  </si>
  <si>
    <t>درصد افزایش حداقل حقوق نسبت به سال 98</t>
  </si>
  <si>
    <t>درصد</t>
  </si>
  <si>
    <t>درصد افزایش سایر سطوح دستمزدی نسبت به سال 98</t>
  </si>
  <si>
    <t>درصد بعلاوه‌ی</t>
  </si>
  <si>
    <t>ماهانه</t>
  </si>
  <si>
    <t>تیر 1399</t>
  </si>
  <si>
    <t>سال 1400</t>
  </si>
  <si>
    <t>اطلاعات کارکرد فروردین ماه 1400</t>
  </si>
  <si>
    <t>1399/01/01</t>
  </si>
  <si>
    <t>1396/01/01</t>
  </si>
  <si>
    <t>1399/02/01</t>
  </si>
  <si>
    <t>1399/09/30</t>
  </si>
  <si>
    <t>پایه سنوات
در صورت تعلق</t>
  </si>
  <si>
    <t>محاسبه مالیات حقوق سال 1400</t>
  </si>
  <si>
    <t>حقوق مشمول مالیات</t>
  </si>
  <si>
    <t>مالیات حقوق</t>
  </si>
  <si>
    <t>طبقه</t>
  </si>
  <si>
    <t>از مبلغ</t>
  </si>
  <si>
    <t>تا مبلغ</t>
  </si>
  <si>
    <t>مبلغ مشمول</t>
  </si>
  <si>
    <t>درصد طبقه</t>
  </si>
  <si>
    <t>دریافت آموزش‌های بیشتر در سایت: Hesabno.com</t>
  </si>
  <si>
    <t>تنظیم: ابراهیم صدرایی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</si>
</sst>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_-* #,##0\-;_-* &quot;-&quot;_-;_-@_-"/>
    <numFmt numFmtId="166" formatCode="_-* #,##0.00_-;_-* #,##0.00\-;_-* &quot;-&quot;??_-;_-@_-"/>
    <numFmt numFmtId="167" formatCode="_-* #\,##0.00_-;_-* #\,##0.00\-;_-* &quot;-&quot;??_-;_-@_-"/>
    <numFmt numFmtId="168" formatCode="_-* #,##0_-;_-* #,##0\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IRANSansDNFaNum"/>
      <family val="2"/>
    </font>
    <font>
      <b/>
      <sz val="14"/>
      <color theme="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rgb="FFFF0000"/>
      <name val="B Nazanin"/>
      <charset val="178"/>
    </font>
    <font>
      <b/>
      <sz val="12"/>
      <color rgb="FFFF0000"/>
      <name val="B Nazanin"/>
      <charset val="178"/>
    </font>
    <font>
      <b/>
      <sz val="11"/>
      <color theme="0"/>
      <name val="B Nazanin"/>
      <charset val="178"/>
    </font>
    <font>
      <b/>
      <sz val="11"/>
      <name val="B Nazanin"/>
      <charset val="178"/>
    </font>
    <font>
      <sz val="11"/>
      <color theme="0"/>
      <name val="B Nazanin"/>
      <charset val="178"/>
    </font>
    <font>
      <u/>
      <sz val="11"/>
      <color theme="10"/>
      <name val="Calibri"/>
      <family val="2"/>
      <scheme val="minor"/>
    </font>
    <font>
      <sz val="20"/>
      <color rgb="FFFF0000"/>
      <name val="B Nazanin"/>
      <charset val="178"/>
    </font>
    <font>
      <b/>
      <u/>
      <sz val="11"/>
      <color theme="10"/>
      <name val="Arial"/>
      <family val="2"/>
    </font>
    <font>
      <b/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7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168" fontId="2" fillId="0" borderId="0" xfId="0" applyNumberFormat="1" applyFont="1"/>
    <xf numFmtId="165" fontId="0" fillId="0" borderId="0" xfId="0" applyNumberFormat="1"/>
    <xf numFmtId="168" fontId="0" fillId="0" borderId="0" xfId="2" applyNumberFormat="1" applyFont="1"/>
    <xf numFmtId="166" fontId="0" fillId="0" borderId="0" xfId="0" applyNumberFormat="1"/>
    <xf numFmtId="168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3" fontId="5" fillId="0" borderId="0" xfId="0" applyNumberFormat="1" applyFont="1"/>
    <xf numFmtId="0" fontId="8" fillId="9" borderId="1" xfId="0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165" fontId="7" fillId="7" borderId="6" xfId="1" applyFont="1" applyFill="1" applyBorder="1" applyAlignment="1">
      <alignment horizontal="center" vertical="center"/>
    </xf>
    <xf numFmtId="165" fontId="7" fillId="7" borderId="8" xfId="1" applyFont="1" applyFill="1" applyBorder="1" applyAlignment="1">
      <alignment horizontal="center" vertical="center"/>
    </xf>
    <xf numFmtId="165" fontId="7" fillId="7" borderId="7" xfId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65" fontId="7" fillId="7" borderId="3" xfId="1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168" fontId="10" fillId="6" borderId="6" xfId="1" applyNumberFormat="1" applyFont="1" applyFill="1" applyBorder="1" applyAlignment="1">
      <alignment horizontal="center" vertical="center"/>
    </xf>
    <xf numFmtId="165" fontId="10" fillId="6" borderId="6" xfId="1" applyFont="1" applyFill="1" applyBorder="1" applyAlignment="1">
      <alignment horizontal="center" vertical="center"/>
    </xf>
    <xf numFmtId="165" fontId="10" fillId="7" borderId="6" xfId="1" applyFont="1" applyFill="1" applyBorder="1" applyAlignment="1">
      <alignment horizontal="center" vertical="center"/>
    </xf>
    <xf numFmtId="165" fontId="10" fillId="6" borderId="8" xfId="1" applyNumberFormat="1" applyFont="1" applyFill="1" applyBorder="1" applyAlignment="1">
      <alignment horizontal="center" vertical="center"/>
    </xf>
    <xf numFmtId="165" fontId="10" fillId="6" borderId="7" xfId="1" applyFont="1" applyFill="1" applyBorder="1" applyAlignment="1">
      <alignment horizontal="center" vertical="center"/>
    </xf>
    <xf numFmtId="165" fontId="10" fillId="7" borderId="7" xfId="1" applyFont="1" applyFill="1" applyBorder="1" applyAlignment="1">
      <alignment horizontal="center" vertical="center"/>
    </xf>
    <xf numFmtId="168" fontId="10" fillId="6" borderId="7" xfId="2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165" fontId="10" fillId="6" borderId="3" xfId="1" applyFont="1" applyFill="1" applyBorder="1" applyAlignment="1">
      <alignment horizontal="center" vertical="center"/>
    </xf>
    <xf numFmtId="165" fontId="10" fillId="7" borderId="4" xfId="1" applyFont="1" applyFill="1" applyBorder="1" applyAlignment="1">
      <alignment horizontal="center" vertical="center"/>
    </xf>
    <xf numFmtId="165" fontId="10" fillId="11" borderId="3" xfId="1" applyFont="1" applyFill="1" applyBorder="1" applyAlignment="1">
      <alignment horizontal="center" vertical="center"/>
    </xf>
    <xf numFmtId="165" fontId="10" fillId="11" borderId="3" xfId="0" applyNumberFormat="1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37" fontId="10" fillId="11" borderId="3" xfId="0" applyNumberFormat="1" applyFont="1" applyFill="1" applyBorder="1" applyAlignment="1">
      <alignment horizontal="center" vertical="center"/>
    </xf>
    <xf numFmtId="168" fontId="10" fillId="11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 wrapText="1"/>
    </xf>
    <xf numFmtId="168" fontId="9" fillId="10" borderId="22" xfId="2" applyNumberFormat="1" applyFont="1" applyFill="1" applyBorder="1" applyAlignment="1">
      <alignment horizontal="center" vertical="center"/>
    </xf>
    <xf numFmtId="168" fontId="9" fillId="10" borderId="23" xfId="2" applyNumberFormat="1" applyFont="1" applyFill="1" applyBorder="1" applyAlignment="1">
      <alignment horizontal="center" vertical="center"/>
    </xf>
    <xf numFmtId="168" fontId="9" fillId="10" borderId="3" xfId="2" applyNumberFormat="1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 wrapText="1"/>
    </xf>
    <xf numFmtId="168" fontId="9" fillId="10" borderId="24" xfId="0" applyNumberFormat="1" applyFont="1" applyFill="1" applyBorder="1" applyAlignment="1">
      <alignment horizontal="center" vertical="center"/>
    </xf>
    <xf numFmtId="9" fontId="9" fillId="10" borderId="3" xfId="0" applyNumberFormat="1" applyFont="1" applyFill="1" applyBorder="1" applyAlignment="1">
      <alignment horizontal="center" vertical="center"/>
    </xf>
    <xf numFmtId="168" fontId="9" fillId="10" borderId="24" xfId="2" applyNumberFormat="1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 wrapText="1"/>
    </xf>
    <xf numFmtId="168" fontId="9" fillId="8" borderId="27" xfId="0" applyNumberFormat="1" applyFont="1" applyFill="1" applyBorder="1" applyAlignment="1">
      <alignment horizontal="center" vertical="center"/>
    </xf>
    <xf numFmtId="165" fontId="10" fillId="8" borderId="23" xfId="0" applyNumberFormat="1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8" fillId="10" borderId="23" xfId="0" applyFont="1" applyFill="1" applyBorder="1" applyAlignment="1">
      <alignment horizontal="center" vertical="center" wrapText="1"/>
    </xf>
    <xf numFmtId="168" fontId="8" fillId="10" borderId="3" xfId="2" applyNumberFormat="1" applyFont="1" applyFill="1" applyBorder="1" applyAlignment="1">
      <alignment horizontal="center" vertical="center"/>
    </xf>
    <xf numFmtId="168" fontId="8" fillId="10" borderId="24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8" fontId="9" fillId="10" borderId="25" xfId="2" applyNumberFormat="1" applyFont="1" applyFill="1" applyBorder="1" applyAlignment="1">
      <alignment horizontal="center" vertical="center"/>
    </xf>
    <xf numFmtId="168" fontId="9" fillId="10" borderId="26" xfId="2" applyNumberFormat="1" applyFont="1" applyFill="1" applyBorder="1" applyAlignment="1">
      <alignment horizontal="center" vertical="center"/>
    </xf>
    <xf numFmtId="9" fontId="9" fillId="10" borderId="26" xfId="0" applyNumberFormat="1" applyFont="1" applyFill="1" applyBorder="1" applyAlignment="1">
      <alignment horizontal="center" vertical="center"/>
    </xf>
    <xf numFmtId="168" fontId="9" fillId="10" borderId="27" xfId="2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8" fillId="10" borderId="23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8" borderId="15" xfId="0" applyFont="1" applyFill="1" applyBorder="1"/>
    <xf numFmtId="0" fontId="8" fillId="8" borderId="0" xfId="0" applyFont="1" applyFill="1" applyBorder="1"/>
    <xf numFmtId="0" fontId="8" fillId="8" borderId="16" xfId="0" applyFont="1" applyFill="1" applyBorder="1"/>
    <xf numFmtId="0" fontId="8" fillId="8" borderId="12" xfId="0" applyFont="1" applyFill="1" applyBorder="1"/>
    <xf numFmtId="0" fontId="8" fillId="8" borderId="13" xfId="0" applyFont="1" applyFill="1" applyBorder="1"/>
    <xf numFmtId="0" fontId="8" fillId="8" borderId="14" xfId="0" applyFont="1" applyFill="1" applyBorder="1"/>
    <xf numFmtId="0" fontId="15" fillId="5" borderId="9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Border="1"/>
    <xf numFmtId="168" fontId="2" fillId="0" borderId="0" xfId="2" applyNumberFormat="1" applyFont="1" applyBorder="1"/>
    <xf numFmtId="0" fontId="9" fillId="2" borderId="15" xfId="0" applyFont="1" applyFill="1" applyBorder="1"/>
    <xf numFmtId="168" fontId="2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0" borderId="13" xfId="0" applyFont="1" applyBorder="1"/>
    <xf numFmtId="168" fontId="2" fillId="0" borderId="13" xfId="2" applyNumberFormat="1" applyFont="1" applyBorder="1"/>
    <xf numFmtId="0" fontId="2" fillId="0" borderId="12" xfId="0" applyFont="1" applyBorder="1"/>
    <xf numFmtId="0" fontId="2" fillId="0" borderId="14" xfId="0" applyFont="1" applyBorder="1"/>
    <xf numFmtId="0" fontId="9" fillId="3" borderId="12" xfId="0" applyFont="1" applyFill="1" applyBorder="1" applyAlignment="1">
      <alignment horizontal="center" vertical="center" wrapText="1"/>
    </xf>
    <xf numFmtId="168" fontId="9" fillId="3" borderId="13" xfId="2" applyNumberFormat="1" applyFont="1" applyFill="1" applyBorder="1"/>
    <xf numFmtId="0" fontId="9" fillId="3" borderId="13" xfId="0" applyFont="1" applyFill="1" applyBorder="1"/>
    <xf numFmtId="168" fontId="9" fillId="3" borderId="14" xfId="2" applyNumberFormat="1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10" fillId="12" borderId="21" xfId="0" applyFont="1" applyFill="1" applyBorder="1" applyAlignment="1">
      <alignment horizontal="center" vertical="center"/>
    </xf>
    <xf numFmtId="0" fontId="10" fillId="12" borderId="26" xfId="0" applyFont="1" applyFill="1" applyBorder="1" applyAlignment="1">
      <alignment horizontal="center" vertical="center"/>
    </xf>
    <xf numFmtId="0" fontId="10" fillId="12" borderId="27" xfId="0" applyFont="1" applyFill="1" applyBorder="1" applyAlignment="1">
      <alignment horizontal="center" vertical="center"/>
    </xf>
    <xf numFmtId="3" fontId="10" fillId="12" borderId="26" xfId="0" applyNumberFormat="1" applyFont="1" applyFill="1" applyBorder="1" applyAlignment="1">
      <alignment horizontal="center" vertical="center"/>
    </xf>
    <xf numFmtId="167" fontId="9" fillId="10" borderId="21" xfId="0" applyNumberFormat="1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horizontal="center" vertical="center"/>
    </xf>
    <xf numFmtId="165" fontId="9" fillId="10" borderId="3" xfId="1" applyFont="1" applyFill="1" applyBorder="1" applyAlignment="1">
      <alignment horizontal="center" vertical="center"/>
    </xf>
    <xf numFmtId="165" fontId="9" fillId="10" borderId="24" xfId="1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horizontal="center" vertical="center"/>
    </xf>
    <xf numFmtId="165" fontId="6" fillId="13" borderId="26" xfId="0" applyNumberFormat="1" applyFont="1" applyFill="1" applyBorder="1" applyAlignment="1">
      <alignment horizontal="center" vertical="center"/>
    </xf>
    <xf numFmtId="165" fontId="6" fillId="13" borderId="27" xfId="0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3" fontId="10" fillId="15" borderId="1" xfId="2" applyNumberFormat="1" applyFont="1" applyFill="1" applyBorder="1" applyAlignment="1" applyProtection="1">
      <alignment horizontal="center" vertical="center"/>
      <protection locked="0"/>
    </xf>
    <xf numFmtId="1" fontId="13" fillId="14" borderId="1" xfId="2" applyNumberFormat="1" applyFont="1" applyFill="1" applyBorder="1" applyAlignment="1">
      <alignment horizontal="center" vertical="center"/>
    </xf>
    <xf numFmtId="168" fontId="9" fillId="0" borderId="1" xfId="2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/>
    </xf>
    <xf numFmtId="168" fontId="9" fillId="0" borderId="1" xfId="2" applyNumberFormat="1" applyFont="1" applyBorder="1" applyAlignment="1">
      <alignment horizontal="center"/>
    </xf>
    <xf numFmtId="3" fontId="10" fillId="9" borderId="1" xfId="2" applyNumberFormat="1" applyFont="1" applyFill="1" applyBorder="1" applyAlignment="1" applyProtection="1">
      <alignment horizontal="center" vertical="center"/>
      <protection locked="0"/>
    </xf>
    <xf numFmtId="3" fontId="10" fillId="9" borderId="1" xfId="2" applyNumberFormat="1" applyFont="1" applyFill="1" applyBorder="1" applyAlignment="1" applyProtection="1">
      <alignment horizontal="center" vertical="center"/>
    </xf>
    <xf numFmtId="168" fontId="9" fillId="16" borderId="1" xfId="2" applyNumberFormat="1" applyFont="1" applyFill="1" applyBorder="1" applyAlignment="1">
      <alignment horizontal="center" vertical="center"/>
    </xf>
    <xf numFmtId="9" fontId="9" fillId="16" borderId="1" xfId="0" applyNumberFormat="1" applyFont="1" applyFill="1" applyBorder="1" applyAlignment="1">
      <alignment horizontal="center"/>
    </xf>
    <xf numFmtId="168" fontId="9" fillId="16" borderId="1" xfId="2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2" borderId="21" xfId="0" applyFont="1" applyFill="1" applyBorder="1" applyAlignment="1">
      <alignment horizontal="center" vertical="center"/>
    </xf>
    <xf numFmtId="0" fontId="10" fillId="12" borderId="22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22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165" fontId="12" fillId="8" borderId="20" xfId="1" applyFont="1" applyFill="1" applyBorder="1" applyAlignment="1">
      <alignment horizontal="center" vertical="center"/>
    </xf>
    <xf numFmtId="165" fontId="12" fillId="8" borderId="21" xfId="1" applyFont="1" applyFill="1" applyBorder="1" applyAlignment="1">
      <alignment horizontal="center" vertical="center"/>
    </xf>
    <xf numFmtId="165" fontId="12" fillId="8" borderId="23" xfId="1" applyFont="1" applyFill="1" applyBorder="1" applyAlignment="1">
      <alignment horizontal="center" vertical="center"/>
    </xf>
    <xf numFmtId="165" fontId="12" fillId="8" borderId="3" xfId="1" applyFont="1" applyFill="1" applyBorder="1" applyAlignment="1">
      <alignment horizontal="center" vertical="center"/>
    </xf>
    <xf numFmtId="167" fontId="2" fillId="10" borderId="25" xfId="0" applyNumberFormat="1" applyFont="1" applyFill="1" applyBorder="1" applyAlignment="1">
      <alignment horizontal="center" vertical="center"/>
    </xf>
    <xf numFmtId="167" fontId="2" fillId="10" borderId="26" xfId="0" applyNumberFormat="1" applyFont="1" applyFill="1" applyBorder="1" applyAlignment="1">
      <alignment horizontal="center" vertical="center"/>
    </xf>
    <xf numFmtId="167" fontId="2" fillId="10" borderId="27" xfId="0" applyNumberFormat="1" applyFont="1" applyFill="1" applyBorder="1" applyAlignment="1">
      <alignment horizontal="center" vertical="center"/>
    </xf>
    <xf numFmtId="167" fontId="2" fillId="10" borderId="25" xfId="0" applyNumberFormat="1" applyFont="1" applyFill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2" fillId="0" borderId="28" xfId="1" applyFont="1" applyBorder="1" applyAlignment="1">
      <alignment horizontal="center" vertical="center"/>
    </xf>
    <xf numFmtId="165" fontId="2" fillId="0" borderId="0" xfId="1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0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31" xfId="0" applyFont="1" applyFill="1" applyBorder="1" applyAlignment="1">
      <alignment horizontal="center"/>
    </xf>
    <xf numFmtId="168" fontId="2" fillId="4" borderId="10" xfId="2" applyNumberFormat="1" applyFont="1" applyFill="1" applyBorder="1" applyAlignment="1">
      <alignment vertical="center"/>
    </xf>
    <xf numFmtId="168" fontId="2" fillId="4" borderId="11" xfId="2" applyNumberFormat="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3" applyFont="1" applyAlignment="1">
      <alignment horizontal="center" vertical="top"/>
    </xf>
    <xf numFmtId="0" fontId="19" fillId="0" borderId="0" xfId="0" applyFont="1" applyAlignment="1">
      <alignment horizontal="center"/>
    </xf>
  </cellXfs>
  <cellStyles count="4">
    <cellStyle name="Comma" xfId="2" builtinId="3"/>
    <cellStyle name="Comma [0]" xfId="1" builtinId="6"/>
    <cellStyle name="Hyperlink" xfId="3" builtinId="8"/>
    <cellStyle name="Normal" xfId="0" builtinId="0"/>
  </cellStyles>
  <dxfs count="0"/>
  <tableStyles count="0" defaultTableStyle="TableStyleMedium2" defaultPivotStyle="PivotStyleMedium9"/>
  <colors>
    <mruColors>
      <color rgb="FFFF0066"/>
      <color rgb="FFFFCCCC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pin" dx="16" fmlaLink="$E$4" max="1004" min="1001" page="10" val="100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753341</xdr:colOff>
      <xdr:row>3</xdr:row>
      <xdr:rowOff>249546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r="13181"/>
        <a:stretch/>
      </xdr:blipFill>
      <xdr:spPr>
        <a:xfrm>
          <a:off x="10571555045" y="1"/>
          <a:ext cx="1411432" cy="1275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814387</xdr:colOff>
      <xdr:row>2</xdr:row>
      <xdr:rowOff>571877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r="13181"/>
        <a:stretch/>
      </xdr:blipFill>
      <xdr:spPr>
        <a:xfrm>
          <a:off x="10541150813" y="0"/>
          <a:ext cx="1466850" cy="1324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</xdr:row>
          <xdr:rowOff>19050</xdr:rowOff>
        </xdr:from>
        <xdr:to>
          <xdr:col>8</xdr:col>
          <xdr:colOff>552450</xdr:colOff>
          <xdr:row>8</xdr:row>
          <xdr:rowOff>9525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hesab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K10"/>
  <sheetViews>
    <sheetView rightToLeft="1" tabSelected="1" zoomScale="110" zoomScaleNormal="110" workbookViewId="0">
      <selection activeCell="K6" sqref="K6"/>
    </sheetView>
  </sheetViews>
  <sheetFormatPr defaultColWidth="9" defaultRowHeight="17.649999999999999" x14ac:dyDescent="0.85"/>
  <cols>
    <col min="1" max="1" width="9.19921875" style="7" bestFit="1" customWidth="1"/>
    <col min="2" max="2" width="20.86328125" style="7" customWidth="1"/>
    <col min="3" max="3" width="12.59765625" style="7" customWidth="1"/>
    <col min="4" max="4" width="13.46484375" style="7" bestFit="1" customWidth="1"/>
    <col min="5" max="5" width="13.19921875" style="7" customWidth="1"/>
    <col min="6" max="6" width="15" style="7" customWidth="1"/>
    <col min="7" max="7" width="14.19921875" style="7" customWidth="1"/>
    <col min="8" max="8" width="8.73046875" style="7" customWidth="1"/>
    <col min="9" max="10" width="12.06640625" style="7" customWidth="1"/>
    <col min="11" max="11" width="18.46484375" style="10" customWidth="1"/>
    <col min="12" max="16384" width="9" style="7"/>
  </cols>
  <sheetData>
    <row r="1" spans="1:11" ht="35.65" customHeight="1" x14ac:dyDescent="0.85">
      <c r="A1" s="134" t="s">
        <v>77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22.5" x14ac:dyDescent="1.1000000000000001">
      <c r="A2" s="135" t="s">
        <v>56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22.5" x14ac:dyDescent="1.1000000000000001">
      <c r="A3" s="135" t="s">
        <v>57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22.5" x14ac:dyDescent="1.1000000000000001">
      <c r="A4" s="136" t="s">
        <v>86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36.75" x14ac:dyDescent="0.85">
      <c r="A5" s="11" t="s">
        <v>0</v>
      </c>
      <c r="B5" s="11" t="s">
        <v>1</v>
      </c>
      <c r="C5" s="11" t="s">
        <v>11</v>
      </c>
      <c r="D5" s="11" t="s">
        <v>55</v>
      </c>
      <c r="E5" s="11" t="s">
        <v>3</v>
      </c>
      <c r="F5" s="11" t="s">
        <v>38</v>
      </c>
      <c r="G5" s="11" t="s">
        <v>92</v>
      </c>
      <c r="H5" s="11" t="s">
        <v>78</v>
      </c>
      <c r="I5" s="11" t="s">
        <v>62</v>
      </c>
      <c r="J5" s="11" t="s">
        <v>63</v>
      </c>
      <c r="K5" s="12" t="s">
        <v>64</v>
      </c>
    </row>
    <row r="6" spans="1:11" s="8" customFormat="1" ht="34.25" customHeight="1" x14ac:dyDescent="0.85">
      <c r="A6" s="13">
        <v>1001</v>
      </c>
      <c r="B6" s="14" t="s">
        <v>58</v>
      </c>
      <c r="C6" s="15" t="s">
        <v>90</v>
      </c>
      <c r="D6" s="16">
        <v>55000000</v>
      </c>
      <c r="E6" s="16">
        <f>D6*0.4</f>
        <v>22000000</v>
      </c>
      <c r="F6" s="16">
        <f>SUM(D6:E6)</f>
        <v>77000000</v>
      </c>
      <c r="G6" s="16">
        <v>1400000</v>
      </c>
      <c r="H6" s="16">
        <v>1</v>
      </c>
      <c r="I6" s="17">
        <v>6000000</v>
      </c>
      <c r="J6" s="18">
        <v>4500000</v>
      </c>
      <c r="K6" s="19">
        <v>79664850</v>
      </c>
    </row>
    <row r="7" spans="1:11" s="8" customFormat="1" ht="34.25" customHeight="1" x14ac:dyDescent="0.85">
      <c r="A7" s="20">
        <v>1002</v>
      </c>
      <c r="B7" s="21" t="s">
        <v>60</v>
      </c>
      <c r="C7" s="15" t="s">
        <v>89</v>
      </c>
      <c r="D7" s="22">
        <v>85000000</v>
      </c>
      <c r="E7" s="22">
        <f>D7*0.4</f>
        <v>34000000</v>
      </c>
      <c r="F7" s="16">
        <f>SUM(D7:E7)</f>
        <v>119000000</v>
      </c>
      <c r="G7" s="16">
        <v>1400000</v>
      </c>
      <c r="H7" s="22">
        <v>0</v>
      </c>
      <c r="I7" s="17">
        <v>6000000</v>
      </c>
      <c r="J7" s="18">
        <v>4500000</v>
      </c>
      <c r="K7" s="19">
        <v>79664850</v>
      </c>
    </row>
    <row r="8" spans="1:11" s="8" customFormat="1" ht="34.25" customHeight="1" x14ac:dyDescent="0.85">
      <c r="A8" s="20">
        <v>1003</v>
      </c>
      <c r="B8" s="21" t="s">
        <v>61</v>
      </c>
      <c r="C8" s="15" t="s">
        <v>88</v>
      </c>
      <c r="D8" s="22">
        <v>115000000</v>
      </c>
      <c r="E8" s="22">
        <f>D8*0.4</f>
        <v>46000000</v>
      </c>
      <c r="F8" s="16">
        <f>SUM(D8:E8)</f>
        <v>161000000</v>
      </c>
      <c r="G8" s="16">
        <v>1400000</v>
      </c>
      <c r="H8" s="22">
        <v>2</v>
      </c>
      <c r="I8" s="17">
        <v>6000000</v>
      </c>
      <c r="J8" s="18">
        <v>4500000</v>
      </c>
      <c r="K8" s="19">
        <v>79664850</v>
      </c>
    </row>
    <row r="9" spans="1:11" s="8" customFormat="1" ht="34.25" customHeight="1" x14ac:dyDescent="0.85">
      <c r="A9" s="20">
        <v>1004</v>
      </c>
      <c r="B9" s="21" t="s">
        <v>59</v>
      </c>
      <c r="C9" s="15" t="s">
        <v>91</v>
      </c>
      <c r="D9" s="22">
        <v>140000000</v>
      </c>
      <c r="E9" s="22">
        <f>D9*0.4</f>
        <v>56000000</v>
      </c>
      <c r="F9" s="16">
        <f>SUM(D9:E9)</f>
        <v>196000000</v>
      </c>
      <c r="G9" s="16">
        <v>1400000</v>
      </c>
      <c r="H9" s="22">
        <v>3</v>
      </c>
      <c r="I9" s="17">
        <v>6000000</v>
      </c>
      <c r="J9" s="18">
        <v>4500000</v>
      </c>
      <c r="K9" s="19">
        <v>79664850</v>
      </c>
    </row>
    <row r="10" spans="1:11" x14ac:dyDescent="0.85">
      <c r="E10" s="9"/>
      <c r="F10" s="9"/>
    </row>
  </sheetData>
  <mergeCells count="4">
    <mergeCell ref="A1:K1"/>
    <mergeCell ref="A2:K2"/>
    <mergeCell ref="A3:K3"/>
    <mergeCell ref="A4:K4"/>
  </mergeCells>
  <pageMargins left="0.2" right="0.38" top="0.26" bottom="0.75" header="0.2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V28"/>
  <sheetViews>
    <sheetView rightToLeft="1" topLeftCell="K1" zoomScaleNormal="100" workbookViewId="0">
      <selection activeCell="R20" sqref="R20"/>
    </sheetView>
  </sheetViews>
  <sheetFormatPr defaultColWidth="9" defaultRowHeight="16.899999999999999" x14ac:dyDescent="0.45"/>
  <cols>
    <col min="1" max="1" width="9.1328125" style="46" bestFit="1" customWidth="1"/>
    <col min="2" max="2" width="19.86328125" style="46" customWidth="1"/>
    <col min="3" max="3" width="16" style="46" customWidth="1"/>
    <col min="4" max="4" width="14.53125" style="46" bestFit="1" customWidth="1"/>
    <col min="5" max="5" width="15.1328125" style="46" customWidth="1"/>
    <col min="6" max="6" width="15" style="46" customWidth="1"/>
    <col min="7" max="7" width="13.1328125" style="46" customWidth="1"/>
    <col min="8" max="8" width="13.265625" style="46" customWidth="1"/>
    <col min="9" max="9" width="9.59765625" style="46" customWidth="1"/>
    <col min="10" max="10" width="14.1328125" style="46" bestFit="1" customWidth="1"/>
    <col min="11" max="11" width="14" style="46" customWidth="1"/>
    <col min="12" max="12" width="13.265625" style="46" bestFit="1" customWidth="1"/>
    <col min="13" max="13" width="14.6640625" style="46" customWidth="1"/>
    <col min="14" max="14" width="9.1328125" style="46" bestFit="1" customWidth="1"/>
    <col min="15" max="15" width="14.1328125" style="46" bestFit="1" customWidth="1"/>
    <col min="16" max="16" width="18.3984375" style="46" customWidth="1"/>
    <col min="17" max="17" width="21.59765625" style="46" customWidth="1"/>
    <col min="18" max="18" width="14.1328125" style="46" bestFit="1" customWidth="1"/>
    <col min="19" max="19" width="17.1328125" style="46" customWidth="1"/>
    <col min="20" max="20" width="13.86328125" style="46" bestFit="1" customWidth="1"/>
    <col min="21" max="21" width="17.3984375" style="46" customWidth="1"/>
    <col min="22" max="22" width="18" style="46" customWidth="1"/>
    <col min="23" max="16384" width="9" style="46"/>
  </cols>
  <sheetData>
    <row r="1" spans="1:22" ht="32.65" customHeight="1" x14ac:dyDescent="0.45">
      <c r="A1" s="134" t="s">
        <v>54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1:22" ht="26.75" customHeight="1" x14ac:dyDescent="0.45">
      <c r="A2" s="150" t="s">
        <v>56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</row>
    <row r="3" spans="1:22" ht="49.15" customHeight="1" x14ac:dyDescent="0.45">
      <c r="A3" s="150" t="s">
        <v>87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</row>
    <row r="4" spans="1:22" ht="18" customHeight="1" x14ac:dyDescent="0.45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/>
      <c r="H4" s="23">
        <v>7</v>
      </c>
      <c r="I4" s="23">
        <v>8</v>
      </c>
      <c r="J4" s="23">
        <v>9</v>
      </c>
      <c r="K4" s="23">
        <v>10</v>
      </c>
      <c r="L4" s="23">
        <v>11</v>
      </c>
      <c r="M4" s="23">
        <v>12</v>
      </c>
      <c r="N4" s="23">
        <v>13</v>
      </c>
      <c r="O4" s="23">
        <v>14</v>
      </c>
      <c r="P4" s="23">
        <v>15</v>
      </c>
      <c r="Q4" s="23">
        <v>16</v>
      </c>
      <c r="R4" s="23">
        <v>17</v>
      </c>
      <c r="S4" s="23">
        <v>18</v>
      </c>
      <c r="T4" s="23">
        <v>19</v>
      </c>
      <c r="U4" s="24"/>
      <c r="V4" s="24"/>
    </row>
    <row r="5" spans="1:22" ht="39.75" x14ac:dyDescent="0.45">
      <c r="A5" s="25" t="s">
        <v>0</v>
      </c>
      <c r="B5" s="25" t="s">
        <v>1</v>
      </c>
      <c r="C5" s="25" t="s">
        <v>7</v>
      </c>
      <c r="D5" s="25" t="s">
        <v>65</v>
      </c>
      <c r="E5" s="25" t="s">
        <v>3</v>
      </c>
      <c r="F5" s="25" t="s">
        <v>68</v>
      </c>
      <c r="G5" s="25" t="s">
        <v>43</v>
      </c>
      <c r="H5" s="25" t="s">
        <v>4</v>
      </c>
      <c r="I5" s="25" t="s">
        <v>13</v>
      </c>
      <c r="J5" s="25" t="s">
        <v>5</v>
      </c>
      <c r="K5" s="25" t="s">
        <v>6</v>
      </c>
      <c r="L5" s="25" t="s">
        <v>10</v>
      </c>
      <c r="M5" s="25" t="s">
        <v>9</v>
      </c>
      <c r="N5" s="25" t="s">
        <v>12</v>
      </c>
      <c r="O5" s="25" t="s">
        <v>14</v>
      </c>
      <c r="P5" s="25" t="s">
        <v>15</v>
      </c>
      <c r="Q5" s="25" t="s">
        <v>16</v>
      </c>
      <c r="R5" s="25" t="s">
        <v>17</v>
      </c>
      <c r="S5" s="25" t="s">
        <v>18</v>
      </c>
      <c r="T5" s="25" t="s">
        <v>19</v>
      </c>
      <c r="U5" s="25" t="s">
        <v>20</v>
      </c>
      <c r="V5" s="25" t="s">
        <v>21</v>
      </c>
    </row>
    <row r="6" spans="1:22" ht="27.85" customHeight="1" x14ac:dyDescent="0.45">
      <c r="A6" s="26">
        <v>1001</v>
      </c>
      <c r="B6" s="27" t="str">
        <f>'اطلاعات احکام پرسنلی'!B6:B9</f>
        <v>محمدرضا گلزار</v>
      </c>
      <c r="C6" s="28">
        <v>31</v>
      </c>
      <c r="D6" s="29">
        <f>('اطلاعات احکام پرسنلی'!D6/30)*'اطلاعات کارکرد فروردین 1400'!C6</f>
        <v>56833333.333333328</v>
      </c>
      <c r="E6" s="29">
        <f>'اطلاعات احکام پرسنلی'!E6/30*'اطلاعات کارکرد فروردین 1400'!C6</f>
        <v>22733333.333333336</v>
      </c>
      <c r="F6" s="30">
        <f>D6+E6+H6</f>
        <v>79566666.666666657</v>
      </c>
      <c r="G6" s="30">
        <f>F6/C6</f>
        <v>2566666.6666666665</v>
      </c>
      <c r="H6" s="31"/>
      <c r="I6" s="30">
        <f>SUM('اطلاعات احکام پرسنلی'!H6)</f>
        <v>1</v>
      </c>
      <c r="J6" s="32">
        <f>$H$14*I6</f>
        <v>2655495</v>
      </c>
      <c r="K6" s="33">
        <f>'اطلاعات احکام پرسنلی'!J6+'اطلاعات احکام پرسنلی'!I6</f>
        <v>10500000</v>
      </c>
      <c r="L6" s="34">
        <v>3</v>
      </c>
      <c r="M6" s="35">
        <f>F6/C6*L6</f>
        <v>7700000</v>
      </c>
      <c r="N6" s="34">
        <v>40</v>
      </c>
      <c r="O6" s="33">
        <f>('اطلاعات احکام پرسنلی'!F6+H6)/220*1.4*'اطلاعات کارکرد فروردین 1400'!N6</f>
        <v>19599999.999999996</v>
      </c>
      <c r="P6" s="33">
        <f>O6+M6+K6+J6+F6</f>
        <v>120022161.66666666</v>
      </c>
      <c r="Q6" s="33">
        <f>IF((P6-M6-J6)&gt;=(885165*7*C6),885165*7*C6,(P6-M6-J6))</f>
        <v>109666666.66666666</v>
      </c>
      <c r="R6" s="35">
        <f>Q6*7%</f>
        <v>7676666.666666667</v>
      </c>
      <c r="S6" s="33">
        <f>P6-M6-J6-K6-(R6*2.7)</f>
        <v>78439666.666666657</v>
      </c>
      <c r="T6" s="33">
        <f>IF(S6&lt;=40000000,0,IF(S6&lt;=80000000,(S6-40000000)*10%,IF(S6&lt;=120000000,(S6-80000000)*15%+4000000,IF(S6&lt;=180000000,(S6-120000000)*20%+4000000+6000000,IF(S6&lt;=240000000,(S6-180000000)*25%+12000000+6000000+4000000,"check")))))</f>
        <v>3843966.666666666</v>
      </c>
      <c r="U6" s="33">
        <f>T6+R6</f>
        <v>11520633.333333332</v>
      </c>
      <c r="V6" s="33">
        <f>P6-U6</f>
        <v>108501528.33333333</v>
      </c>
    </row>
    <row r="7" spans="1:22" ht="27.85" customHeight="1" x14ac:dyDescent="0.45">
      <c r="A7" s="36">
        <v>1002</v>
      </c>
      <c r="B7" s="37" t="str">
        <f>'اطلاعات احکام پرسنلی'!B7</f>
        <v>رامبد جوان</v>
      </c>
      <c r="C7" s="38">
        <v>31</v>
      </c>
      <c r="D7" s="29">
        <f>('اطلاعات احکام پرسنلی'!D7/30)*'اطلاعات کارکرد فروردین 1400'!C7</f>
        <v>87833333.333333343</v>
      </c>
      <c r="E7" s="29">
        <f>'اطلاعات احکام پرسنلی'!E7/30*'اطلاعات کارکرد فروردین 1400'!C7</f>
        <v>35133333.333333328</v>
      </c>
      <c r="F7" s="30">
        <f>D7+E7+H7</f>
        <v>124413333.33333334</v>
      </c>
      <c r="G7" s="30">
        <f>F7/C7</f>
        <v>4013333.3333333335</v>
      </c>
      <c r="H7" s="31">
        <f>D14*C7</f>
        <v>1446666.6666666665</v>
      </c>
      <c r="I7" s="39">
        <f>SUM('اطلاعات احکام پرسنلی'!H7)</f>
        <v>0</v>
      </c>
      <c r="J7" s="32">
        <f>$H$14*I7</f>
        <v>0</v>
      </c>
      <c r="K7" s="33">
        <f>'اطلاعات احکام پرسنلی'!J7+'اطلاعات احکام پرسنلی'!I7</f>
        <v>10500000</v>
      </c>
      <c r="L7" s="40">
        <v>7</v>
      </c>
      <c r="M7" s="35">
        <f t="shared" ref="M7:M9" si="0">F7/C7*L7</f>
        <v>28093333.333333336</v>
      </c>
      <c r="N7" s="40">
        <v>25</v>
      </c>
      <c r="O7" s="33">
        <f>('اطلاعات احکام پرسنلی'!F7+H7)/220*1.4*'اطلاعات کارکرد فروردین 1400'!N7</f>
        <v>19161969.696969695</v>
      </c>
      <c r="P7" s="33">
        <f t="shared" ref="P7:P9" si="1">O7+M7+K7+J7+F7</f>
        <v>182168636.36363637</v>
      </c>
      <c r="Q7" s="33">
        <f>IF((P7-M7-J7)&gt;=(885165*7*C7),885165*7*C7,(P7-M7-J7))</f>
        <v>154075303.03030303</v>
      </c>
      <c r="R7" s="35">
        <f>Q7*7%</f>
        <v>10785271.212121213</v>
      </c>
      <c r="S7" s="33">
        <f t="shared" ref="S7:S9" si="2">P7-M7-J7-K7-(R7*2.7)</f>
        <v>114455070.75757575</v>
      </c>
      <c r="T7" s="33">
        <f>IF(S7&lt;=40000000,0,IF(S7&lt;=80000000,(S7-40000000)*10%,IF(S7&lt;=120000000,(S7-80000000)*15%+4000000,IF(S7&lt;=180000000,(S7-120000000)*20%+4000000+6000000,IF(S7&lt;=240000000,(S7-180000000)*25%+12000000+6000000+4000000,"check")))))</f>
        <v>9168260.6136363633</v>
      </c>
      <c r="U7" s="33">
        <f>T7+R7</f>
        <v>19953531.825757578</v>
      </c>
      <c r="V7" s="33">
        <f>P7-U7</f>
        <v>162215104.53787881</v>
      </c>
    </row>
    <row r="8" spans="1:22" ht="27.85" customHeight="1" x14ac:dyDescent="0.45">
      <c r="A8" s="26">
        <v>1003</v>
      </c>
      <c r="B8" s="37" t="str">
        <f>'اطلاعات احکام پرسنلی'!B8</f>
        <v>احسان علی‌خانی</v>
      </c>
      <c r="C8" s="38">
        <v>31</v>
      </c>
      <c r="D8" s="29">
        <f>('اطلاعات احکام پرسنلی'!D8/30)*'اطلاعات کارکرد فروردین 1400'!C8</f>
        <v>118833333.33333334</v>
      </c>
      <c r="E8" s="29">
        <f>'اطلاعات احکام پرسنلی'!E8/30*'اطلاعات کارکرد فروردین 1400'!C8</f>
        <v>47533333.333333328</v>
      </c>
      <c r="F8" s="30">
        <f>D8+E8+H8</f>
        <v>167813333.33333334</v>
      </c>
      <c r="G8" s="30">
        <f>F8/C8</f>
        <v>5413333.333333334</v>
      </c>
      <c r="H8" s="31">
        <f>D14*C8</f>
        <v>1446666.6666666665</v>
      </c>
      <c r="I8" s="39">
        <f>SUM('اطلاعات احکام پرسنلی'!H8)</f>
        <v>2</v>
      </c>
      <c r="J8" s="32">
        <f>$H$14*I8</f>
        <v>5310990</v>
      </c>
      <c r="K8" s="33">
        <f>'اطلاعات احکام پرسنلی'!J8+'اطلاعات احکام پرسنلی'!I8</f>
        <v>10500000</v>
      </c>
      <c r="L8" s="40">
        <v>2</v>
      </c>
      <c r="M8" s="35">
        <f t="shared" si="0"/>
        <v>10826666.666666668</v>
      </c>
      <c r="N8" s="40">
        <v>65</v>
      </c>
      <c r="O8" s="33">
        <f>('اطلاعات احکام پرسنلی'!F8+H8)/220*1.4*'اطلاعات کارکرد فروردین 1400'!N8</f>
        <v>67193848.484848469</v>
      </c>
      <c r="P8" s="33">
        <f t="shared" si="1"/>
        <v>261644838.4848485</v>
      </c>
      <c r="Q8" s="33">
        <f>IF((P8-M8-J8)&gt;=(885165*7*C8),885165*7*C8,(P8-M8-J8))</f>
        <v>192080805</v>
      </c>
      <c r="R8" s="35">
        <f>Q8*7%</f>
        <v>13445656.350000001</v>
      </c>
      <c r="S8" s="33">
        <f t="shared" si="2"/>
        <v>198703909.67318183</v>
      </c>
      <c r="T8" s="33">
        <f>IF(S8&lt;=40000000,0,IF(S8&lt;=80000000,(S8-40000000)*10%,IF(S8&lt;=120000000,(S8-80000000)*15%+4000000,IF(S8&lt;=180000000,(S8-120000000)*20%+4000000+6000000,IF(S8&lt;=240000000,(S8-180000000)*25%+12000000+6000000+4000000,"check")))))</f>
        <v>26675977.418295458</v>
      </c>
      <c r="U8" s="33">
        <f>T8+R8</f>
        <v>40121633.768295459</v>
      </c>
      <c r="V8" s="33">
        <f>P8-U8</f>
        <v>221523204.71655303</v>
      </c>
    </row>
    <row r="9" spans="1:22" ht="27.85" customHeight="1" x14ac:dyDescent="0.45">
      <c r="A9" s="36">
        <v>1004</v>
      </c>
      <c r="B9" s="37" t="str">
        <f>'اطلاعات احکام پرسنلی'!B9</f>
        <v>نوید محمدزاده</v>
      </c>
      <c r="C9" s="38">
        <v>31</v>
      </c>
      <c r="D9" s="29">
        <f>('اطلاعات احکام پرسنلی'!D9/30)*'اطلاعات کارکرد فروردین 1400'!C9</f>
        <v>144666666.66666669</v>
      </c>
      <c r="E9" s="29">
        <f>'اطلاعات احکام پرسنلی'!E9/30*'اطلاعات کارکرد فروردین 1400'!C9</f>
        <v>57866666.666666672</v>
      </c>
      <c r="F9" s="30">
        <f>D9+E9+H9</f>
        <v>202533333.33333337</v>
      </c>
      <c r="G9" s="30">
        <f>F9/C9</f>
        <v>6533333.3333333349</v>
      </c>
      <c r="H9" s="31"/>
      <c r="I9" s="39">
        <f>SUM('اطلاعات احکام پرسنلی'!H9)</f>
        <v>3</v>
      </c>
      <c r="J9" s="32">
        <f>$H$14*I9</f>
        <v>7966485</v>
      </c>
      <c r="K9" s="33">
        <f>'اطلاعات احکام پرسنلی'!J9+'اطلاعات احکام پرسنلی'!I9</f>
        <v>10500000</v>
      </c>
      <c r="L9" s="40">
        <v>2</v>
      </c>
      <c r="M9" s="35">
        <f t="shared" si="0"/>
        <v>13066666.66666667</v>
      </c>
      <c r="N9" s="40">
        <v>50</v>
      </c>
      <c r="O9" s="33">
        <f>('اطلاعات احکام پرسنلی'!F9+H9)/220*1.4*'اطلاعات کارکرد فروردین 1400'!N9</f>
        <v>62363636.363636367</v>
      </c>
      <c r="P9" s="33">
        <f t="shared" si="1"/>
        <v>296430121.36363637</v>
      </c>
      <c r="Q9" s="33">
        <f>IF((P9-M9-J9)&gt;=(885165*7*C9),885165*7*C9,(P9-M9-J9))</f>
        <v>192080805</v>
      </c>
      <c r="R9" s="35">
        <f>Q9*7%</f>
        <v>13445656.350000001</v>
      </c>
      <c r="S9" s="33">
        <f t="shared" si="2"/>
        <v>228593697.55196968</v>
      </c>
      <c r="T9" s="33">
        <f>IF(S9&lt;=40000000,0,IF(S9&lt;=80000000,(S9-40000000)*10%,IF(S9&lt;=120000000,(S9-80000000)*15%+4000000,IF(S9&lt;=180000000,(S9-120000000)*20%+4000000+6000000,IF(S9&lt;=240000000,(S9-180000000)*25%+12000000+6000000+4000000,"check")))))</f>
        <v>34148424.387992419</v>
      </c>
      <c r="U9" s="33">
        <f>T9+R9</f>
        <v>47594080.737992421</v>
      </c>
      <c r="V9" s="33">
        <f>P9-U9</f>
        <v>248836040.62564397</v>
      </c>
    </row>
    <row r="10" spans="1:22" ht="27" customHeight="1" x14ac:dyDescent="0.45">
      <c r="A10" s="143"/>
      <c r="B10" s="143"/>
      <c r="C10" s="143"/>
      <c r="D10" s="41">
        <f>SUM(D6:D9)</f>
        <v>408166666.66666675</v>
      </c>
      <c r="E10" s="42">
        <f>SUM(E6:E9)</f>
        <v>163266666.66666669</v>
      </c>
      <c r="F10" s="42">
        <f>SUM(F6:F9)</f>
        <v>574326666.66666675</v>
      </c>
      <c r="G10" s="42"/>
      <c r="H10" s="42">
        <f>SUM(H6:H9)</f>
        <v>2893333.333333333</v>
      </c>
      <c r="I10" s="43"/>
      <c r="J10" s="44">
        <f>SUM(J6:J9)</f>
        <v>15932970</v>
      </c>
      <c r="K10" s="42">
        <f>SUM(K6:K9)</f>
        <v>42000000</v>
      </c>
      <c r="L10" s="43"/>
      <c r="M10" s="45">
        <f>SUM(M6:M9)</f>
        <v>59686666.666666672</v>
      </c>
      <c r="N10" s="43"/>
      <c r="O10" s="42">
        <f t="shared" ref="O10:V10" si="3">SUM(O6:O9)</f>
        <v>168319454.54545453</v>
      </c>
      <c r="P10" s="41">
        <f t="shared" si="3"/>
        <v>860265757.87878788</v>
      </c>
      <c r="Q10" s="42">
        <f t="shared" si="3"/>
        <v>647903579.69696975</v>
      </c>
      <c r="R10" s="42">
        <f t="shared" si="3"/>
        <v>45353250.578787878</v>
      </c>
      <c r="S10" s="42">
        <f t="shared" si="3"/>
        <v>620192344.64939392</v>
      </c>
      <c r="T10" s="42">
        <f t="shared" si="3"/>
        <v>73836629.086590916</v>
      </c>
      <c r="U10" s="42">
        <f t="shared" si="3"/>
        <v>119189879.66537879</v>
      </c>
      <c r="V10" s="42">
        <f t="shared" si="3"/>
        <v>741075878.21340919</v>
      </c>
    </row>
    <row r="11" spans="1:22" ht="17.25" thickBot="1" x14ac:dyDescent="0.5"/>
    <row r="12" spans="1:22" ht="16.899999999999999" customHeight="1" thickTop="1" thickBot="1" x14ac:dyDescent="0.5">
      <c r="E12" s="47"/>
      <c r="F12" s="47"/>
      <c r="G12" s="47"/>
      <c r="L12" s="147" t="s">
        <v>53</v>
      </c>
      <c r="M12" s="148"/>
      <c r="N12" s="148"/>
      <c r="O12" s="149"/>
      <c r="Q12" s="66"/>
    </row>
    <row r="13" spans="1:22" ht="16.899999999999999" customHeight="1" thickTop="1" thickBot="1" x14ac:dyDescent="0.5">
      <c r="A13" s="151" t="s">
        <v>70</v>
      </c>
      <c r="B13" s="152"/>
      <c r="C13" s="112" t="s">
        <v>72</v>
      </c>
      <c r="D13" s="113" t="s">
        <v>73</v>
      </c>
      <c r="E13" s="151" t="s">
        <v>8</v>
      </c>
      <c r="F13" s="152"/>
      <c r="G13" s="112" t="s">
        <v>66</v>
      </c>
      <c r="H13" s="113" t="s">
        <v>67</v>
      </c>
      <c r="I13" s="159"/>
      <c r="J13" s="160"/>
      <c r="L13" s="48" t="s">
        <v>39</v>
      </c>
      <c r="M13" s="49" t="s">
        <v>40</v>
      </c>
      <c r="N13" s="49" t="s">
        <v>41</v>
      </c>
      <c r="O13" s="50" t="s">
        <v>42</v>
      </c>
      <c r="Q13" s="51" t="s">
        <v>22</v>
      </c>
      <c r="R13" s="52">
        <v>885165</v>
      </c>
    </row>
    <row r="14" spans="1:22" ht="20.25" thickTop="1" x14ac:dyDescent="0.45">
      <c r="A14" s="153"/>
      <c r="B14" s="154"/>
      <c r="C14" s="114">
        <v>1400000</v>
      </c>
      <c r="D14" s="115">
        <f>(C14)/30</f>
        <v>46666.666666666664</v>
      </c>
      <c r="E14" s="153"/>
      <c r="F14" s="154"/>
      <c r="G14" s="114">
        <v>885165</v>
      </c>
      <c r="H14" s="115">
        <f>G14*3</f>
        <v>2655495</v>
      </c>
      <c r="I14" s="161"/>
      <c r="J14" s="162"/>
      <c r="L14" s="53">
        <v>0</v>
      </c>
      <c r="M14" s="54">
        <v>40000000</v>
      </c>
      <c r="N14" s="55">
        <v>0</v>
      </c>
      <c r="O14" s="56">
        <f>(M14-L14)*N14</f>
        <v>0</v>
      </c>
      <c r="Q14" s="57" t="s">
        <v>74</v>
      </c>
      <c r="R14" s="58">
        <f>R13*7</f>
        <v>6196155</v>
      </c>
      <c r="T14" s="144" t="s">
        <v>23</v>
      </c>
      <c r="U14" s="145"/>
      <c r="V14" s="146"/>
    </row>
    <row r="15" spans="1:22" ht="38.65" customHeight="1" thickBot="1" x14ac:dyDescent="0.5">
      <c r="A15" s="158" t="s">
        <v>71</v>
      </c>
      <c r="B15" s="156"/>
      <c r="C15" s="156"/>
      <c r="D15" s="157"/>
      <c r="E15" s="155" t="s">
        <v>69</v>
      </c>
      <c r="F15" s="156"/>
      <c r="G15" s="156"/>
      <c r="H15" s="157"/>
      <c r="I15" s="163"/>
      <c r="J15" s="164"/>
      <c r="L15" s="53">
        <f>M14</f>
        <v>40000000</v>
      </c>
      <c r="M15" s="54">
        <v>80000000</v>
      </c>
      <c r="N15" s="59">
        <v>0.1</v>
      </c>
      <c r="O15" s="60">
        <f>(M15-L15)*N15</f>
        <v>4000000</v>
      </c>
      <c r="Q15" s="61" t="s">
        <v>79</v>
      </c>
      <c r="R15" s="62">
        <f>R14*31</f>
        <v>192080805</v>
      </c>
      <c r="T15" s="63" t="s">
        <v>24</v>
      </c>
      <c r="U15" s="64" t="s">
        <v>25</v>
      </c>
      <c r="V15" s="65" t="s">
        <v>26</v>
      </c>
    </row>
    <row r="16" spans="1:22" ht="19.149999999999999" thickTop="1" thickBot="1" x14ac:dyDescent="0.5">
      <c r="H16" s="66">
        <f>I14*7*31</f>
        <v>0</v>
      </c>
      <c r="L16" s="53">
        <f>M15</f>
        <v>80000000</v>
      </c>
      <c r="M16" s="54">
        <v>120000000</v>
      </c>
      <c r="N16" s="59">
        <v>0.15</v>
      </c>
      <c r="O16" s="60">
        <f>(M16-L16)*N16</f>
        <v>6000000</v>
      </c>
      <c r="T16" s="67" t="s">
        <v>65</v>
      </c>
      <c r="U16" s="68">
        <f>D10</f>
        <v>408166666.66666675</v>
      </c>
      <c r="V16" s="69"/>
    </row>
    <row r="17" spans="1:22" ht="22.5" customHeight="1" thickTop="1" x14ac:dyDescent="0.45">
      <c r="A17" s="137" t="s">
        <v>80</v>
      </c>
      <c r="B17" s="138"/>
      <c r="C17" s="138"/>
      <c r="D17" s="138"/>
      <c r="E17" s="108">
        <v>26</v>
      </c>
      <c r="F17" s="108" t="s">
        <v>81</v>
      </c>
      <c r="G17" s="141"/>
      <c r="H17" s="142"/>
      <c r="L17" s="53">
        <f>M16</f>
        <v>120000000</v>
      </c>
      <c r="M17" s="54">
        <v>180000000</v>
      </c>
      <c r="N17" s="59">
        <v>0.2</v>
      </c>
      <c r="O17" s="60">
        <f>(M17-L17)*N17</f>
        <v>12000000</v>
      </c>
      <c r="T17" s="67" t="s">
        <v>3</v>
      </c>
      <c r="U17" s="68">
        <f>E10</f>
        <v>163266666.66666669</v>
      </c>
      <c r="V17" s="69"/>
    </row>
    <row r="18" spans="1:22" ht="20.25" thickBot="1" x14ac:dyDescent="0.5">
      <c r="A18" s="139" t="s">
        <v>82</v>
      </c>
      <c r="B18" s="140"/>
      <c r="C18" s="140"/>
      <c r="D18" s="140"/>
      <c r="E18" s="109">
        <v>15</v>
      </c>
      <c r="F18" s="109" t="s">
        <v>83</v>
      </c>
      <c r="G18" s="111">
        <v>1690000</v>
      </c>
      <c r="H18" s="110" t="s">
        <v>84</v>
      </c>
      <c r="L18" s="53">
        <f>M17</f>
        <v>180000000</v>
      </c>
      <c r="M18" s="54">
        <v>240000000</v>
      </c>
      <c r="N18" s="59">
        <v>0.25</v>
      </c>
      <c r="O18" s="60">
        <f>(M18-L18)*N18</f>
        <v>15000000</v>
      </c>
      <c r="P18" s="75"/>
      <c r="Q18" s="66"/>
      <c r="T18" s="67" t="s">
        <v>4</v>
      </c>
      <c r="U18" s="68">
        <f>H10</f>
        <v>2893333.333333333</v>
      </c>
      <c r="V18" s="69"/>
    </row>
    <row r="19" spans="1:22" ht="18.75" thickTop="1" x14ac:dyDescent="0.45">
      <c r="D19" s="70"/>
      <c r="L19" s="53">
        <f t="shared" ref="L19:L20" si="4">M18</f>
        <v>240000000</v>
      </c>
      <c r="M19" s="54">
        <v>320000000</v>
      </c>
      <c r="N19" s="59">
        <v>0.3</v>
      </c>
      <c r="O19" s="60">
        <f t="shared" ref="O19:O20" si="5">(M19-L19)*N19</f>
        <v>24000000</v>
      </c>
      <c r="Q19" s="76"/>
      <c r="T19" s="67" t="s">
        <v>5</v>
      </c>
      <c r="U19" s="68">
        <f>J10</f>
        <v>15932970</v>
      </c>
      <c r="V19" s="69"/>
    </row>
    <row r="20" spans="1:22" ht="37.15" thickBot="1" x14ac:dyDescent="0.5">
      <c r="D20" s="70"/>
      <c r="L20" s="71">
        <f t="shared" si="4"/>
        <v>320000000</v>
      </c>
      <c r="M20" s="72">
        <v>1000000001</v>
      </c>
      <c r="N20" s="73">
        <v>0.35</v>
      </c>
      <c r="O20" s="74">
        <f t="shared" si="5"/>
        <v>238000000.34999999</v>
      </c>
      <c r="T20" s="67" t="s">
        <v>6</v>
      </c>
      <c r="U20" s="68">
        <f>K10</f>
        <v>42000000</v>
      </c>
      <c r="V20" s="69"/>
    </row>
    <row r="21" spans="1:22" ht="18.75" thickTop="1" x14ac:dyDescent="0.45">
      <c r="D21" s="70"/>
      <c r="T21" s="67" t="s">
        <v>9</v>
      </c>
      <c r="U21" s="68">
        <f>M10</f>
        <v>59686666.666666672</v>
      </c>
      <c r="V21" s="69"/>
    </row>
    <row r="22" spans="1:22" ht="18.399999999999999" x14ac:dyDescent="0.45">
      <c r="T22" s="67" t="s">
        <v>14</v>
      </c>
      <c r="U22" s="68">
        <f>O10</f>
        <v>168319454.54545453</v>
      </c>
      <c r="V22" s="69"/>
    </row>
    <row r="23" spans="1:22" ht="18.399999999999999" x14ac:dyDescent="0.45">
      <c r="R23" s="76"/>
      <c r="T23" s="77" t="s">
        <v>27</v>
      </c>
      <c r="U23" s="68">
        <f>Q10*23%</f>
        <v>149017823.33030304</v>
      </c>
      <c r="V23" s="69"/>
    </row>
    <row r="24" spans="1:22" ht="18.399999999999999" x14ac:dyDescent="0.45">
      <c r="T24" s="77" t="s">
        <v>28</v>
      </c>
      <c r="U24" s="68"/>
      <c r="V24" s="69">
        <f>T10</f>
        <v>73836629.086590916</v>
      </c>
    </row>
    <row r="25" spans="1:22" ht="18.399999999999999" x14ac:dyDescent="0.45">
      <c r="S25" s="78"/>
      <c r="T25" s="77" t="s">
        <v>29</v>
      </c>
      <c r="U25" s="68"/>
      <c r="V25" s="69">
        <f>U23+R10</f>
        <v>194371073.90909094</v>
      </c>
    </row>
    <row r="26" spans="1:22" ht="18.399999999999999" x14ac:dyDescent="0.45">
      <c r="T26" s="77" t="s">
        <v>30</v>
      </c>
      <c r="U26" s="68"/>
      <c r="V26" s="69">
        <f>V10</f>
        <v>741075878.21340919</v>
      </c>
    </row>
    <row r="27" spans="1:22" ht="22.9" thickBot="1" x14ac:dyDescent="0.5">
      <c r="T27" s="116" t="s">
        <v>75</v>
      </c>
      <c r="U27" s="117">
        <f>SUM(U16:U26)</f>
        <v>1009283581.2090911</v>
      </c>
      <c r="V27" s="118">
        <f>SUM(V16:V26)</f>
        <v>1009283581.2090911</v>
      </c>
    </row>
    <row r="28" spans="1:22" ht="17.25" thickTop="1" x14ac:dyDescent="0.45">
      <c r="V28" s="66">
        <f>V27-U27</f>
        <v>0</v>
      </c>
    </row>
  </sheetData>
  <mergeCells count="16">
    <mergeCell ref="A1:V1"/>
    <mergeCell ref="A2:V2"/>
    <mergeCell ref="A3:V3"/>
    <mergeCell ref="E13:F14"/>
    <mergeCell ref="E15:H15"/>
    <mergeCell ref="A13:B14"/>
    <mergeCell ref="A15:D15"/>
    <mergeCell ref="I13:J13"/>
    <mergeCell ref="I14:J14"/>
    <mergeCell ref="I15:J15"/>
    <mergeCell ref="A17:D17"/>
    <mergeCell ref="A18:D18"/>
    <mergeCell ref="G17:H17"/>
    <mergeCell ref="A10:C10"/>
    <mergeCell ref="T14:V14"/>
    <mergeCell ref="L12:O12"/>
  </mergeCells>
  <pageMargins left="0.19685039370078741" right="0.19685039370078741" top="0.35433070866141736" bottom="0.33" header="0.19685039370078741" footer="0.2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19"/>
  <sheetViews>
    <sheetView rightToLeft="1" zoomScale="110" zoomScaleNormal="110" workbookViewId="0">
      <selection activeCell="B17" sqref="B17:F17"/>
    </sheetView>
  </sheetViews>
  <sheetFormatPr defaultColWidth="9" defaultRowHeight="16.899999999999999" x14ac:dyDescent="0.8"/>
  <cols>
    <col min="1" max="1" width="17.9296875" style="1" customWidth="1"/>
    <col min="2" max="2" width="14.73046875" style="1" bestFit="1" customWidth="1"/>
    <col min="3" max="3" width="16" style="1" customWidth="1"/>
    <col min="4" max="4" width="17.33203125" style="1" customWidth="1"/>
    <col min="5" max="5" width="9" style="1"/>
    <col min="6" max="6" width="13.73046875" style="1" bestFit="1" customWidth="1"/>
    <col min="7" max="16384" width="9" style="1"/>
  </cols>
  <sheetData>
    <row r="1" spans="1:8" ht="32.25" customHeight="1" x14ac:dyDescent="0.8">
      <c r="A1" s="165" t="s">
        <v>76</v>
      </c>
      <c r="B1" s="165"/>
      <c r="C1" s="165"/>
      <c r="D1" s="165"/>
      <c r="E1" s="165"/>
      <c r="F1" s="165"/>
      <c r="H1" s="1">
        <v>14</v>
      </c>
    </row>
    <row r="2" spans="1:8" ht="25.9" customHeight="1" x14ac:dyDescent="0.8">
      <c r="A2" s="166" t="s">
        <v>31</v>
      </c>
      <c r="B2" s="166"/>
      <c r="C2" s="166"/>
      <c r="D2" s="166"/>
      <c r="E2" s="166"/>
      <c r="F2" s="166"/>
    </row>
    <row r="3" spans="1:8" ht="31.5" customHeight="1" x14ac:dyDescent="0.8">
      <c r="A3" s="167" t="s">
        <v>85</v>
      </c>
      <c r="B3" s="167"/>
      <c r="C3" s="167"/>
      <c r="D3" s="167"/>
      <c r="E3" s="167"/>
      <c r="F3" s="167"/>
    </row>
    <row r="4" spans="1:8" ht="18.399999999999999" x14ac:dyDescent="0.85">
      <c r="A4" s="79" t="s">
        <v>32</v>
      </c>
      <c r="B4" s="80"/>
      <c r="C4" s="80"/>
      <c r="D4" s="80" t="s">
        <v>0</v>
      </c>
      <c r="E4" s="80">
        <v>1002</v>
      </c>
      <c r="F4" s="81"/>
    </row>
    <row r="5" spans="1:8" ht="18.75" thickBot="1" x14ac:dyDescent="0.9">
      <c r="A5" s="82" t="s">
        <v>1</v>
      </c>
      <c r="B5" s="83" t="str">
        <f>VLOOKUP(E4,'اطلاعات کارکرد فروردین 1400'!A5:C9,2,0)</f>
        <v>رامبد جوان</v>
      </c>
      <c r="C5" s="83"/>
      <c r="D5" s="83"/>
      <c r="E5" s="83"/>
      <c r="F5" s="84"/>
    </row>
    <row r="6" spans="1:8" ht="6" customHeight="1" thickBot="1" x14ac:dyDescent="0.85"/>
    <row r="7" spans="1:8" ht="17.25" thickBot="1" x14ac:dyDescent="0.85">
      <c r="A7" s="168" t="s">
        <v>33</v>
      </c>
      <c r="B7" s="169"/>
      <c r="C7" s="169"/>
      <c r="D7" s="169"/>
      <c r="E7" s="169"/>
      <c r="F7" s="170"/>
    </row>
    <row r="8" spans="1:8" x14ac:dyDescent="0.8">
      <c r="A8" s="85" t="s">
        <v>34</v>
      </c>
      <c r="B8" s="86"/>
      <c r="C8" s="86"/>
      <c r="D8" s="85" t="s">
        <v>35</v>
      </c>
      <c r="E8" s="86"/>
      <c r="F8" s="87"/>
    </row>
    <row r="9" spans="1:8" ht="18" x14ac:dyDescent="0.9">
      <c r="A9" s="88" t="s">
        <v>2</v>
      </c>
      <c r="B9" s="89"/>
      <c r="C9" s="90">
        <f>VLOOKUP(E4,'اطلاعات کارکرد فروردین 1400'!A5:E9,4,0)</f>
        <v>87833333.333333343</v>
      </c>
      <c r="D9" s="91" t="str">
        <f>'اطلاعات کارکرد فروردین 1400'!R5</f>
        <v>بیمه سهم کارمند</v>
      </c>
      <c r="E9" s="89"/>
      <c r="F9" s="92">
        <f>VLOOKUP($E$4,'اطلاعات کارکرد فروردین 1400'!$A$5:$T$9,18,0)</f>
        <v>10785271.212121213</v>
      </c>
    </row>
    <row r="10" spans="1:8" ht="18" x14ac:dyDescent="0.9">
      <c r="A10" s="88" t="s">
        <v>3</v>
      </c>
      <c r="B10" s="89"/>
      <c r="C10" s="90">
        <f>VLOOKUP($E$4,'اطلاعات کارکرد فروردین 1400'!$A$5:$T$9,5,0)</f>
        <v>35133333.333333328</v>
      </c>
      <c r="D10" s="91" t="str">
        <f>'اطلاعات کارکرد فروردین 1400'!T5</f>
        <v>مالیات</v>
      </c>
      <c r="E10" s="89"/>
      <c r="F10" s="92">
        <f>VLOOKUP($E$4,'اطلاعات کارکرد فروردین 1400'!$A$5:$T$9,20,0)</f>
        <v>9168260.6136363633</v>
      </c>
    </row>
    <row r="11" spans="1:8" x14ac:dyDescent="0.8">
      <c r="A11" s="88" t="s">
        <v>4</v>
      </c>
      <c r="B11" s="89"/>
      <c r="C11" s="90">
        <f>VLOOKUP($E$4,'اطلاعات کارکرد فروردین 1400'!$A$5:$T$9,8,0)</f>
        <v>1446666.6666666665</v>
      </c>
      <c r="D11" s="93"/>
      <c r="E11" s="89"/>
      <c r="F11" s="94"/>
    </row>
    <row r="12" spans="1:8" x14ac:dyDescent="0.8">
      <c r="A12" s="88" t="s">
        <v>5</v>
      </c>
      <c r="B12" s="89"/>
      <c r="C12" s="90">
        <f>VLOOKUP($E$4,'اطلاعات کارکرد فروردین 1400'!$A$5:$T$9,10,0)</f>
        <v>0</v>
      </c>
      <c r="D12" s="93"/>
      <c r="E12" s="89"/>
      <c r="F12" s="94"/>
    </row>
    <row r="13" spans="1:8" x14ac:dyDescent="0.8">
      <c r="A13" s="88" t="s">
        <v>6</v>
      </c>
      <c r="B13" s="89"/>
      <c r="C13" s="90">
        <f>VLOOKUP($E$4,'اطلاعات کارکرد فروردین 1400'!$A$5:$T$9,11,0)</f>
        <v>10500000</v>
      </c>
      <c r="D13" s="93"/>
      <c r="E13" s="89"/>
      <c r="F13" s="94"/>
    </row>
    <row r="14" spans="1:8" x14ac:dyDescent="0.8">
      <c r="A14" s="88" t="s">
        <v>9</v>
      </c>
      <c r="B14" s="89"/>
      <c r="C14" s="90">
        <f>VLOOKUP($E$4,'اطلاعات کارکرد فروردین 1400'!$A$5:$T$9,13,0)</f>
        <v>28093333.333333336</v>
      </c>
      <c r="D14" s="93"/>
      <c r="E14" s="89"/>
      <c r="F14" s="94"/>
    </row>
    <row r="15" spans="1:8" ht="17.25" thickBot="1" x14ac:dyDescent="0.85">
      <c r="A15" s="95" t="s">
        <v>14</v>
      </c>
      <c r="B15" s="96"/>
      <c r="C15" s="97">
        <f>VLOOKUP($E$4,'اطلاعات کارکرد فروردین 1400'!$A$5:$T$9,15,0)</f>
        <v>19161969.696969695</v>
      </c>
      <c r="D15" s="98"/>
      <c r="E15" s="96"/>
      <c r="F15" s="99"/>
    </row>
    <row r="16" spans="1:8" ht="18.399999999999999" thickBot="1" x14ac:dyDescent="0.95">
      <c r="A16" s="100" t="s">
        <v>36</v>
      </c>
      <c r="B16" s="101"/>
      <c r="C16" s="101">
        <f>SUM(C9:C15)</f>
        <v>182168636.36363637</v>
      </c>
      <c r="D16" s="102" t="s">
        <v>37</v>
      </c>
      <c r="E16" s="102"/>
      <c r="F16" s="103">
        <f>SUM(F9:F15)</f>
        <v>19953531.825757578</v>
      </c>
    </row>
    <row r="17" spans="1:6" x14ac:dyDescent="0.8">
      <c r="A17" s="104" t="s">
        <v>21</v>
      </c>
      <c r="B17" s="171">
        <f>ROUNDUP(C16-F16,0)</f>
        <v>162215105</v>
      </c>
      <c r="C17" s="171"/>
      <c r="D17" s="171"/>
      <c r="E17" s="171"/>
      <c r="F17" s="172"/>
    </row>
    <row r="18" spans="1:6" ht="17.25" thickBot="1" x14ac:dyDescent="0.85">
      <c r="A18" s="105"/>
      <c r="B18" s="106"/>
      <c r="C18" s="106"/>
      <c r="D18" s="106"/>
      <c r="E18" s="106"/>
      <c r="F18" s="107"/>
    </row>
    <row r="19" spans="1:6" x14ac:dyDescent="0.8">
      <c r="C19" s="2"/>
    </row>
  </sheetData>
  <mergeCells count="5">
    <mergeCell ref="A1:F1"/>
    <mergeCell ref="A2:F2"/>
    <mergeCell ref="A3:F3"/>
    <mergeCell ref="A7:F7"/>
    <mergeCell ref="B17:F1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Spinner 2">
              <controlPr defaultSize="0" autoPict="0">
                <anchor moveWithCells="1" sizeWithCells="1">
                  <from>
                    <xdr:col>7</xdr:col>
                    <xdr:colOff>85725</xdr:colOff>
                    <xdr:row>3</xdr:row>
                    <xdr:rowOff>19050</xdr:rowOff>
                  </from>
                  <to>
                    <xdr:col>8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D19B-C327-45D8-90D5-BC1454342C0C}">
  <dimension ref="A1:I11"/>
  <sheetViews>
    <sheetView rightToLeft="1" workbookViewId="0">
      <selection activeCell="C3" sqref="C3"/>
    </sheetView>
  </sheetViews>
  <sheetFormatPr defaultRowHeight="14.25" x14ac:dyDescent="0.45"/>
  <cols>
    <col min="1" max="1" width="20.796875" style="133" customWidth="1"/>
    <col min="2" max="2" width="22.265625" style="133" customWidth="1"/>
    <col min="4" max="4" width="7.1328125" customWidth="1"/>
    <col min="5" max="5" width="12.59765625" bestFit="1" customWidth="1"/>
    <col min="6" max="6" width="14.265625" bestFit="1" customWidth="1"/>
    <col min="7" max="7" width="14.86328125" bestFit="1" customWidth="1"/>
    <col min="8" max="8" width="8.59765625" customWidth="1"/>
    <col min="9" max="9" width="13.86328125" customWidth="1"/>
  </cols>
  <sheetData>
    <row r="1" spans="1:9" ht="30.4" x14ac:dyDescent="0.45">
      <c r="A1" s="173" t="s">
        <v>93</v>
      </c>
      <c r="B1" s="173"/>
      <c r="C1" s="173"/>
      <c r="D1" s="173"/>
      <c r="E1" s="173"/>
      <c r="F1" s="173"/>
      <c r="G1" s="173"/>
      <c r="H1" s="173"/>
      <c r="I1" s="173"/>
    </row>
    <row r="2" spans="1:9" ht="22.5" x14ac:dyDescent="0.45">
      <c r="A2" s="119" t="s">
        <v>94</v>
      </c>
      <c r="B2" s="119" t="s">
        <v>95</v>
      </c>
      <c r="D2" s="120" t="s">
        <v>96</v>
      </c>
      <c r="E2" s="120" t="s">
        <v>97</v>
      </c>
      <c r="F2" s="120" t="s">
        <v>98</v>
      </c>
      <c r="G2" s="120" t="s">
        <v>99</v>
      </c>
      <c r="H2" s="120" t="s">
        <v>100</v>
      </c>
      <c r="I2" s="120" t="s">
        <v>42</v>
      </c>
    </row>
    <row r="3" spans="1:9" ht="19.899999999999999" x14ac:dyDescent="0.9">
      <c r="A3" s="121">
        <v>65000000</v>
      </c>
      <c r="B3" s="121">
        <f>IF(A3&lt;=40000000,0,IF(A3&lt;=80000000,(A3-40000000)*10%,IF(A3&lt;=120000000,4000000+(A3-80000000)*15%,IF(A3&lt;=180000000,10000000+(A3-120000000)*20%,IF(A3&lt;=240000000,22000000+(A3-180000000)*25%,IF(A3&lt;=320000000,37000000+(A3-240000000)*30%,61000000+(A3-320000000)*35%))))))</f>
        <v>2500000</v>
      </c>
      <c r="D3" s="122">
        <v>1</v>
      </c>
      <c r="E3" s="123">
        <v>40000000</v>
      </c>
      <c r="F3" s="123">
        <v>80000000</v>
      </c>
      <c r="G3" s="123">
        <f>F3-E3</f>
        <v>40000000</v>
      </c>
      <c r="H3" s="124">
        <v>0.1</v>
      </c>
      <c r="I3" s="125">
        <f>(F3-E3)*H3</f>
        <v>4000000</v>
      </c>
    </row>
    <row r="4" spans="1:9" ht="19.899999999999999" x14ac:dyDescent="0.9">
      <c r="A4" s="126">
        <v>40000000</v>
      </c>
      <c r="B4" s="127">
        <f t="shared" ref="B4:B10" si="0">IF(A4&lt;=40000000,0,IF(A4&lt;=80000000,(A4-40000000)*10%,IF(A4&lt;=120000000,4000000+(A4-80000000)*15%,IF(A4&lt;=180000000,10000000+(A4-120000000)*20%,IF(A4&lt;=240000000,22000000+(A4-180000000)*25%,IF(A4&lt;=320000000,37000000+(A4-240000000)*30%,61000000+(A4-320000000)*35%))))))</f>
        <v>0</v>
      </c>
      <c r="D4" s="122">
        <v>2</v>
      </c>
      <c r="E4" s="128">
        <v>80000000</v>
      </c>
      <c r="F4" s="128">
        <v>120000000</v>
      </c>
      <c r="G4" s="128">
        <f t="shared" ref="G4:G8" si="1">F4-E4</f>
        <v>40000000</v>
      </c>
      <c r="H4" s="129">
        <v>0.15</v>
      </c>
      <c r="I4" s="130">
        <f t="shared" ref="I4:I8" si="2">(F4-E4)*H4</f>
        <v>6000000</v>
      </c>
    </row>
    <row r="5" spans="1:9" ht="19.899999999999999" x14ac:dyDescent="0.9">
      <c r="A5" s="126">
        <v>80000000</v>
      </c>
      <c r="B5" s="127">
        <f t="shared" si="0"/>
        <v>4000000</v>
      </c>
      <c r="D5" s="122">
        <v>3</v>
      </c>
      <c r="E5" s="123">
        <v>120000000</v>
      </c>
      <c r="F5" s="123">
        <v>180000000</v>
      </c>
      <c r="G5" s="123">
        <f t="shared" si="1"/>
        <v>60000000</v>
      </c>
      <c r="H5" s="124">
        <v>0.2</v>
      </c>
      <c r="I5" s="125">
        <f t="shared" si="2"/>
        <v>12000000</v>
      </c>
    </row>
    <row r="6" spans="1:9" ht="19.899999999999999" x14ac:dyDescent="0.9">
      <c r="A6" s="126">
        <v>120000000</v>
      </c>
      <c r="B6" s="127">
        <f t="shared" si="0"/>
        <v>10000000</v>
      </c>
      <c r="D6" s="122">
        <v>4</v>
      </c>
      <c r="E6" s="128">
        <v>180000000</v>
      </c>
      <c r="F6" s="128">
        <v>240000000</v>
      </c>
      <c r="G6" s="128">
        <f t="shared" si="1"/>
        <v>60000000</v>
      </c>
      <c r="H6" s="129">
        <v>0.25</v>
      </c>
      <c r="I6" s="130">
        <f t="shared" si="2"/>
        <v>15000000</v>
      </c>
    </row>
    <row r="7" spans="1:9" ht="19.899999999999999" x14ac:dyDescent="0.9">
      <c r="A7" s="126">
        <v>180000000</v>
      </c>
      <c r="B7" s="127">
        <f t="shared" si="0"/>
        <v>22000000</v>
      </c>
      <c r="D7" s="122">
        <v>5</v>
      </c>
      <c r="E7" s="123">
        <v>240000000</v>
      </c>
      <c r="F7" s="123">
        <v>320000000</v>
      </c>
      <c r="G7" s="123">
        <f t="shared" si="1"/>
        <v>80000000</v>
      </c>
      <c r="H7" s="124">
        <v>0.3</v>
      </c>
      <c r="I7" s="125">
        <f t="shared" si="2"/>
        <v>24000000</v>
      </c>
    </row>
    <row r="8" spans="1:9" ht="19.899999999999999" x14ac:dyDescent="0.9">
      <c r="A8" s="126">
        <v>240000000</v>
      </c>
      <c r="B8" s="127">
        <f t="shared" si="0"/>
        <v>37000000</v>
      </c>
      <c r="C8" s="131"/>
      <c r="D8" s="122">
        <v>6</v>
      </c>
      <c r="E8" s="128">
        <v>320000000</v>
      </c>
      <c r="F8" s="128">
        <v>999999990</v>
      </c>
      <c r="G8" s="128">
        <f t="shared" si="1"/>
        <v>679999990</v>
      </c>
      <c r="H8" s="129">
        <v>0.35</v>
      </c>
      <c r="I8" s="130">
        <f t="shared" si="2"/>
        <v>237999996.49999997</v>
      </c>
    </row>
    <row r="9" spans="1:9" ht="19.899999999999999" x14ac:dyDescent="0.45">
      <c r="A9" s="126">
        <v>320000000</v>
      </c>
      <c r="B9" s="127">
        <f t="shared" si="0"/>
        <v>61000000</v>
      </c>
      <c r="C9" s="131"/>
      <c r="D9" s="131"/>
      <c r="E9" s="131"/>
      <c r="F9" s="131"/>
      <c r="G9" s="131"/>
      <c r="H9" s="131"/>
      <c r="I9" s="131"/>
    </row>
    <row r="10" spans="1:9" ht="19.899999999999999" x14ac:dyDescent="0.45">
      <c r="A10" s="126">
        <v>999999990</v>
      </c>
      <c r="B10" s="127">
        <f t="shared" si="0"/>
        <v>298999996.5</v>
      </c>
      <c r="C10" s="131"/>
      <c r="D10" s="131"/>
      <c r="E10" s="131"/>
      <c r="F10" s="174" t="s">
        <v>101</v>
      </c>
      <c r="G10" s="174"/>
      <c r="H10" s="174"/>
      <c r="I10" s="174"/>
    </row>
    <row r="11" spans="1:9" ht="15.4" x14ac:dyDescent="0.45">
      <c r="A11" s="132"/>
      <c r="B11" s="132"/>
      <c r="F11" s="175" t="s">
        <v>102</v>
      </c>
      <c r="G11" s="175"/>
      <c r="H11" s="175"/>
      <c r="I11" s="175"/>
    </row>
  </sheetData>
  <mergeCells count="3">
    <mergeCell ref="A1:I1"/>
    <mergeCell ref="F10:I10"/>
    <mergeCell ref="F11:I11"/>
  </mergeCells>
  <hyperlinks>
    <hyperlink ref="F10:I10" r:id="rId1" display="دریافت آموزش‌های بیشتر در سایت: Hesabno.com" xr:uid="{4E6121B6-FDB7-40B0-857F-1C6D7C4FAFE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rightToLeft="1" workbookViewId="0">
      <selection activeCell="G9" sqref="G9"/>
    </sheetView>
  </sheetViews>
  <sheetFormatPr defaultRowHeight="14.25" x14ac:dyDescent="0.45"/>
  <cols>
    <col min="1" max="1" width="17.3984375" bestFit="1" customWidth="1"/>
    <col min="2" max="2" width="12.59765625" bestFit="1" customWidth="1"/>
    <col min="5" max="5" width="11.3984375" bestFit="1" customWidth="1"/>
    <col min="6" max="7" width="13.73046875" bestFit="1" customWidth="1"/>
    <col min="8" max="8" width="11.1328125" bestFit="1" customWidth="1"/>
  </cols>
  <sheetData>
    <row r="1" spans="1:8" x14ac:dyDescent="0.45">
      <c r="A1" t="s">
        <v>44</v>
      </c>
      <c r="B1" s="3">
        <f>'اطلاعات کارکرد فروردین 1400'!P6</f>
        <v>120022161.66666666</v>
      </c>
    </row>
    <row r="2" spans="1:8" x14ac:dyDescent="0.45">
      <c r="A2" t="s">
        <v>45</v>
      </c>
      <c r="B2" s="3">
        <f>'اطلاعات کارکرد فروردین 1400'!Q6</f>
        <v>109666666.66666666</v>
      </c>
    </row>
    <row r="3" spans="1:8" x14ac:dyDescent="0.45">
      <c r="A3" t="s">
        <v>46</v>
      </c>
      <c r="B3" s="4">
        <v>1100000</v>
      </c>
      <c r="E3" t="s">
        <v>48</v>
      </c>
      <c r="F3" s="3">
        <f>'اطلاعات کارکرد فروردین 1400'!G6</f>
        <v>2566666.6666666665</v>
      </c>
    </row>
    <row r="4" spans="1:8" x14ac:dyDescent="0.45">
      <c r="A4" t="s">
        <v>47</v>
      </c>
      <c r="B4" s="3">
        <f>B2-B3</f>
        <v>108566666.66666666</v>
      </c>
      <c r="E4" t="s">
        <v>7</v>
      </c>
      <c r="F4">
        <v>31</v>
      </c>
    </row>
    <row r="5" spans="1:8" x14ac:dyDescent="0.45">
      <c r="A5" t="s">
        <v>43</v>
      </c>
      <c r="B5" s="4">
        <f>B4/31</f>
        <v>3502150.5376344081</v>
      </c>
      <c r="E5" t="s">
        <v>49</v>
      </c>
      <c r="F5" s="5">
        <f>F3*F4</f>
        <v>79566666.666666657</v>
      </c>
      <c r="G5" s="4">
        <f>F5</f>
        <v>79566666.666666657</v>
      </c>
      <c r="H5" s="6">
        <f>G5+G6+G7</f>
        <v>87615124.666666657</v>
      </c>
    </row>
    <row r="6" spans="1:8" x14ac:dyDescent="0.45">
      <c r="E6" t="s">
        <v>50</v>
      </c>
      <c r="F6">
        <v>1500000</v>
      </c>
      <c r="G6" s="4">
        <f>F6</f>
        <v>1500000</v>
      </c>
    </row>
    <row r="7" spans="1:8" x14ac:dyDescent="0.45">
      <c r="E7" t="s">
        <v>52</v>
      </c>
      <c r="F7" s="3">
        <f>'اطلاعات کارکرد فروردین 1400'!O6</f>
        <v>19599999.999999996</v>
      </c>
      <c r="G7" s="4">
        <v>6548458</v>
      </c>
    </row>
    <row r="8" spans="1:8" x14ac:dyDescent="0.45">
      <c r="E8" t="s">
        <v>51</v>
      </c>
      <c r="F8" s="5">
        <f>F5+F6+F7</f>
        <v>100666666.66666666</v>
      </c>
      <c r="G8">
        <v>80381791</v>
      </c>
    </row>
    <row r="9" spans="1:8" x14ac:dyDescent="0.45">
      <c r="G9" s="5">
        <f>G8-F8</f>
        <v>-20284875.666666657</v>
      </c>
    </row>
    <row r="11" spans="1:8" x14ac:dyDescent="0.45">
      <c r="G11" s="3">
        <f>F7-G7</f>
        <v>13051541.999999996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اطلاعات احکام پرسنلی</vt:lpstr>
      <vt:lpstr>اطلاعات کارکرد فروردین 1400</vt:lpstr>
      <vt:lpstr>فیش حقوقی</vt:lpstr>
      <vt:lpstr>محاسبه مالیات حقوق 1400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2021-04-30T14:15:02Z</dcterms:modified>
</cp:coreProperties>
</file>